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userName="s273689" algorithmName="SHA-512" hashValue="ZrDsNXWTKcrmuFi0HHxyl5mQVeciZ0K/NZbNwpVDidW1iDIzQfssSxDOjJTmkHtTxbWQZ5I2YNXfg9qNRSV11g==" saltValue="r6sdCgCNvtBy5qoi8qh4AQ==" spinCount="100000"/>
  <workbookPr filterPrivacy="1" showInkAnnotation="0" codeName="ThisWorkbook" defaultThemeVersion="124226"/>
  <xr:revisionPtr revIDLastSave="0" documentId="8_{51E571BA-5D7E-404C-ACE5-00CD96F8AD70}" xr6:coauthVersionLast="47" xr6:coauthVersionMax="47" xr10:uidLastSave="{00000000-0000-0000-0000-000000000000}"/>
  <bookViews>
    <workbookView xWindow="-120" yWindow="-120" windowWidth="29040" windowHeight="15720" tabRatio="1000" xr2:uid="{00000000-000D-0000-FFFF-FFFF00000000}"/>
  </bookViews>
  <sheets>
    <sheet name="TCOS" sheetId="2" r:id="rId1"/>
    <sheet name="WS A - RB Support" sheetId="35" r:id="rId2"/>
    <sheet name="WS B ADIT &amp; ITC" sheetId="5" r:id="rId3"/>
    <sheet name="WS B-1 - Actual Stmt. AF" sheetId="38" r:id="rId4"/>
    <sheet name="WS B-2 - Actual Stmt. AG" sheetId="39" r:id="rId5"/>
    <sheet name="WS B-3" sheetId="51" r:id="rId6"/>
    <sheet name="WS B-3-A" sheetId="53" r:id="rId7"/>
    <sheet name="WS C  - Working Capital" sheetId="6" r:id="rId8"/>
    <sheet name="WS D IPP Credits" sheetId="7" r:id="rId9"/>
    <sheet name="WS E Rev Credits" sheetId="8" r:id="rId10"/>
    <sheet name="WS F Misc Exp" sheetId="9" r:id="rId11"/>
    <sheet name="WS G  State Tax Rate" sheetId="10" r:id="rId12"/>
    <sheet name="WS H Other Taxes" sheetId="11" r:id="rId13"/>
    <sheet name="WS H-1-Detail of Tax Amts" sheetId="30" r:id="rId14"/>
    <sheet name="WS I Reserved" sheetId="12" r:id="rId15"/>
    <sheet name="WS J PROJECTED RTEP RR" sheetId="20" state="hidden" r:id="rId16"/>
    <sheet name="WS K TRUE-UP RTEP RR" sheetId="13" r:id="rId17"/>
    <sheet name="WS L Reserved" sheetId="14" r:id="rId18"/>
    <sheet name="WS M - Cost of Capital" sheetId="41" r:id="rId19"/>
    <sheet name="WS N - Sale of Plant Held" sheetId="21" r:id="rId20"/>
    <sheet name="WS O - PBOP" sheetId="48" r:id="rId21"/>
    <sheet name="APCo - WS P Dep. Rates" sheetId="31" r:id="rId22"/>
    <sheet name="IMC - WS P Dep. Rates" sheetId="52" r:id="rId23"/>
    <sheet name="KGP - WS P Dep. Rates" sheetId="43" r:id="rId24"/>
    <sheet name="KPC - WS P Dep. Rates" sheetId="44" r:id="rId25"/>
    <sheet name="OPC - WS P Dep. Rates" sheetId="45" r:id="rId26"/>
    <sheet name="WPC-WS P Dep. Rates" sheetId="46" r:id="rId27"/>
    <sheet name="WSQ NSPL" sheetId="47" r:id="rId28"/>
    <sheet name="WSQ Schedule 12" sheetId="49" r:id="rId29"/>
    <sheet name="WSQ Schedule 1A" sheetId="50" r:id="rId30"/>
  </sheets>
  <definedNames>
    <definedName name="_NPh1" localSheetId="22">#REF!</definedName>
    <definedName name="_NPh1" localSheetId="6">#REF!</definedName>
    <definedName name="_NPh1">#REF!</definedName>
    <definedName name="ActExcessAmt" localSheetId="22">#REF!</definedName>
    <definedName name="ActExcessAmt" localSheetId="6">#REF!</definedName>
    <definedName name="ActExcessAmt">#REF!</definedName>
    <definedName name="ActGrTaxAmt" localSheetId="6">#REF!</definedName>
    <definedName name="ActGrTaxAmt">#REF!</definedName>
    <definedName name="ActKWHExcess" localSheetId="6">#REF!</definedName>
    <definedName name="ActKWHExcess">#REF!</definedName>
    <definedName name="ActKWHNotUsed" localSheetId="6">#REF!</definedName>
    <definedName name="ActKWHNotUsed">#REF!</definedName>
    <definedName name="ActKWHRes" localSheetId="6">#REF!</definedName>
    <definedName name="ActKWHRes">#REF!</definedName>
    <definedName name="ActKWHSubTot" localSheetId="6">#REF!</definedName>
    <definedName name="ActKWHSubTot">#REF!</definedName>
    <definedName name="ActKWHTot" localSheetId="6">#REF!</definedName>
    <definedName name="ActKWHTot">#REF!</definedName>
    <definedName name="ActNotUsedAmt" localSheetId="6">#REF!</definedName>
    <definedName name="ActNotUsedAmt">#REF!</definedName>
    <definedName name="ActResAmt" localSheetId="6">#REF!</definedName>
    <definedName name="ActResAmt">#REF!</definedName>
    <definedName name="ActSubTotAmt" localSheetId="6">#REF!</definedName>
    <definedName name="ActSubTotAmt">#REF!</definedName>
    <definedName name="ActTotAmt" localSheetId="6">#REF!</definedName>
    <definedName name="ActTotAmt">#REF!</definedName>
    <definedName name="AdminChg" localSheetId="6">#REF!</definedName>
    <definedName name="AdminChg">#REF!</definedName>
    <definedName name="AEP" localSheetId="6">#REF!</definedName>
    <definedName name="AEP">#REF!</definedName>
    <definedName name="allocator" localSheetId="6">#REF!</definedName>
    <definedName name="allocator">#REF!</definedName>
    <definedName name="allocators" localSheetId="6">#REF!</definedName>
    <definedName name="allocators">#REF!</definedName>
    <definedName name="allocatorsSWP" localSheetId="6">#REF!</definedName>
    <definedName name="allocatorsSWP">#REF!</definedName>
    <definedName name="allocatorSWP1">#REF!</definedName>
    <definedName name="APCO" localSheetId="6">#REF!</definedName>
    <definedName name="APCO">#REF!</definedName>
    <definedName name="APCo_Proj_Allocators" localSheetId="6">#REF!</definedName>
    <definedName name="APCo_Proj_Allocators">#REF!</definedName>
    <definedName name="APCo_TU_Allocators" localSheetId="6">#REF!</definedName>
    <definedName name="APCo_TU_Allocators">#REF!</definedName>
    <definedName name="AVRGPWRFCTR" localSheetId="6">#REF!</definedName>
    <definedName name="AVRGPWRFCTR">#REF!</definedName>
    <definedName name="B1HRSCRMO" localSheetId="6">#REF!</definedName>
    <definedName name="B1HRSCRMO">#REF!</definedName>
    <definedName name="B2HRSCRMO" localSheetId="6">#REF!</definedName>
    <definedName name="B2HRSCRMO">#REF!</definedName>
    <definedName name="BASERATECHG" localSheetId="6">#REF!</definedName>
    <definedName name="BASERATECHG">#REF!</definedName>
    <definedName name="BILLKWH" localSheetId="6">#REF!</definedName>
    <definedName name="BILLKWH">#REF!</definedName>
    <definedName name="BIRPCCHG" localSheetId="6">#REF!</definedName>
    <definedName name="BIRPCCHG">#REF!</definedName>
    <definedName name="BIRPDCHG1" localSheetId="6">#REF!</definedName>
    <definedName name="BIRPDCHG1">#REF!</definedName>
    <definedName name="BIRPDCHG2" localSheetId="6">#REF!</definedName>
    <definedName name="BIRPDCHG2">#REF!</definedName>
    <definedName name="BIRPECHG1" localSheetId="6">#REF!</definedName>
    <definedName name="BIRPECHG1">#REF!</definedName>
    <definedName name="BIRPECHGB1" localSheetId="6">#REF!</definedName>
    <definedName name="BIRPECHGB1">#REF!</definedName>
    <definedName name="BIRPECHGB2" localSheetId="6">#REF!</definedName>
    <definedName name="BIRPECHGB2">#REF!</definedName>
    <definedName name="BIRPECHGB3" localSheetId="6">#REF!</definedName>
    <definedName name="BIRPECHGB3">#REF!</definedName>
    <definedName name="BIRPECHGW" localSheetId="6">#REF!</definedName>
    <definedName name="BIRPECHGW">#REF!</definedName>
    <definedName name="BIRPKWH1" localSheetId="6">#REF!</definedName>
    <definedName name="BIRPKWH1">#REF!</definedName>
    <definedName name="BIRPKWHB1" localSheetId="6">#REF!</definedName>
    <definedName name="BIRPKWHB1">#REF!</definedName>
    <definedName name="BIRPKWHB2" localSheetId="6">#REF!</definedName>
    <definedName name="BIRPKWHB2">#REF!</definedName>
    <definedName name="BIRPKWHB3" localSheetId="6">#REF!</definedName>
    <definedName name="BIRPKWHB3">#REF!</definedName>
    <definedName name="BIRPKWHWH" localSheetId="6">#REF!</definedName>
    <definedName name="BIRPKWHWH">#REF!</definedName>
    <definedName name="BIRPMECHG1" localSheetId="6">#REF!</definedName>
    <definedName name="BIRPMECHG1">#REF!</definedName>
    <definedName name="BIRPOFKWH" localSheetId="6">#REF!</definedName>
    <definedName name="BIRPOFKWH">#REF!</definedName>
    <definedName name="BIRPOPKWH" localSheetId="6">#REF!</definedName>
    <definedName name="BIRPOPKWH">#REF!</definedName>
    <definedName name="BIRPP1EC" localSheetId="6">#REF!</definedName>
    <definedName name="BIRPP1EC">#REF!</definedName>
    <definedName name="BIRPP2EC" localSheetId="6">#REF!</definedName>
    <definedName name="BIRPP2EC">#REF!</definedName>
    <definedName name="BIRPP3EC" localSheetId="6">#REF!</definedName>
    <definedName name="BIRPP3EC">#REF!</definedName>
    <definedName name="BIRPP4EC" localSheetId="6">#REF!</definedName>
    <definedName name="BIRPP4EC">#REF!</definedName>
    <definedName name="BIRPP5EC" localSheetId="6">#REF!</definedName>
    <definedName name="BIRPP5EC">#REF!</definedName>
    <definedName name="BIRPPDMDCHG" localSheetId="6">#REF!</definedName>
    <definedName name="BIRPPDMDCHG">#REF!</definedName>
    <definedName name="BIRPRCHG" localSheetId="6">#REF!</definedName>
    <definedName name="BIRPRCHG">#REF!</definedName>
    <definedName name="BIRPXKVA" localSheetId="6">#REF!</definedName>
    <definedName name="BIRPXKVA">#REF!</definedName>
    <definedName name="BIRPXKVAPCT" localSheetId="6">#REF!</definedName>
    <definedName name="BIRPXKVAPCT">#REF!</definedName>
    <definedName name="BIRPXOFKW" localSheetId="6">#REF!</definedName>
    <definedName name="BIRPXOFKW">#REF!</definedName>
    <definedName name="BKUPKWH" localSheetId="6">#REF!</definedName>
    <definedName name="BKUPKWH">#REF!</definedName>
    <definedName name="BLDAMNT" localSheetId="6">#REF!</definedName>
    <definedName name="BLDAMNT">#REF!</definedName>
    <definedName name="BLDDMND" localSheetId="6">#REF!</definedName>
    <definedName name="BLDDMND">#REF!</definedName>
    <definedName name="BLDKWH" localSheetId="6">#REF!</definedName>
    <definedName name="BLDKWH">#REF!</definedName>
    <definedName name="BLDOPDMND" localSheetId="6">#REF!</definedName>
    <definedName name="BLDOPDMND">#REF!</definedName>
    <definedName name="BLNGKWB4EDR" localSheetId="6">#REF!</definedName>
    <definedName name="BLNGKWB4EDR">#REF!</definedName>
    <definedName name="BLNGKWH" localSheetId="6">#REF!</definedName>
    <definedName name="BLNGKWH">#REF!</definedName>
    <definedName name="BLNGKWHTTL" localSheetId="6">#REF!</definedName>
    <definedName name="BLNGKWHTTL">#REF!</definedName>
    <definedName name="BndBlkKwh1" localSheetId="6">#REF!</definedName>
    <definedName name="BndBlkKwh1">#REF!</definedName>
    <definedName name="BndBlkKwh2" localSheetId="6">#REF!</definedName>
    <definedName name="BndBlkKwh2">#REF!</definedName>
    <definedName name="BndBlkKwh3" localSheetId="6">#REF!</definedName>
    <definedName name="BndBlkKwh3">#REF!</definedName>
    <definedName name="BndBlkKwhChg1" localSheetId="6">#REF!</definedName>
    <definedName name="BndBlkKwhChg1">#REF!</definedName>
    <definedName name="BndBlkKwhChg2" localSheetId="6">#REF!</definedName>
    <definedName name="BndBlkKwhChg2">#REF!</definedName>
    <definedName name="BndBlkKwhChg3" localSheetId="6">#REF!</definedName>
    <definedName name="BndBlkKwhChg3">#REF!</definedName>
    <definedName name="BndBlkKwhChgT" localSheetId="6">#REF!</definedName>
    <definedName name="BndBlkKwhChgT">#REF!</definedName>
    <definedName name="BndBlkKwhChgW" localSheetId="6">#REF!</definedName>
    <definedName name="BndBlkKwhChgW">#REF!</definedName>
    <definedName name="BndBlkKwhT" localSheetId="6">#REF!</definedName>
    <definedName name="BndBlkKwhT">#REF!</definedName>
    <definedName name="BndBlkKwhW" localSheetId="6">#REF!</definedName>
    <definedName name="BndBlkKwhW">#REF!</definedName>
    <definedName name="BndCustChg" localSheetId="6">#REF!</definedName>
    <definedName name="BndCustChg">#REF!</definedName>
    <definedName name="BndDmdChg1" localSheetId="6">#REF!</definedName>
    <definedName name="BndDmdChg1">#REF!</definedName>
    <definedName name="BndDmdChg2" localSheetId="6">#REF!</definedName>
    <definedName name="BndDmdChg2">#REF!</definedName>
    <definedName name="BndExcsKvaPct" localSheetId="6">#REF!</definedName>
    <definedName name="BndExcsKvaPct">#REF!</definedName>
    <definedName name="BndMEChg" localSheetId="6">#REF!</definedName>
    <definedName name="BndMEChg">#REF!</definedName>
    <definedName name="BndOffPkKwh" localSheetId="6">#REF!</definedName>
    <definedName name="BndOffPkKwh">#REF!</definedName>
    <definedName name="BndOnPkKwh" localSheetId="6">#REF!</definedName>
    <definedName name="BndOnPkKwh">#REF!</definedName>
    <definedName name="BndPL1Chg" localSheetId="6">#REF!</definedName>
    <definedName name="BndPL1Chg">#REF!</definedName>
    <definedName name="BndPL2Chg" localSheetId="6">#REF!</definedName>
    <definedName name="BndPL2Chg">#REF!</definedName>
    <definedName name="BndPL3Chg" localSheetId="6">#REF!</definedName>
    <definedName name="BndPL3Chg">#REF!</definedName>
    <definedName name="BndPL4Chg" localSheetId="6">#REF!</definedName>
    <definedName name="BndPL4Chg">#REF!</definedName>
    <definedName name="BndPL5Chg" localSheetId="6">#REF!</definedName>
    <definedName name="BndPL5Chg">#REF!</definedName>
    <definedName name="BndReactiveChg" localSheetId="6">#REF!</definedName>
    <definedName name="BndReactiveChg">#REF!</definedName>
    <definedName name="BndXOfpKvaChg" localSheetId="6">#REF!</definedName>
    <definedName name="BndXOfpKvaChg">#REF!</definedName>
    <definedName name="BndXOfpKwChg" localSheetId="6">#REF!</definedName>
    <definedName name="BndXOfpKwChg">#REF!</definedName>
    <definedName name="BTTrueUp" localSheetId="6">#REF!</definedName>
    <definedName name="BTTrueUp">#REF!</definedName>
    <definedName name="BUNCCHG" localSheetId="6">#REF!</definedName>
    <definedName name="BUNCCHG">#REF!</definedName>
    <definedName name="BUNDCHG1" localSheetId="6">#REF!</definedName>
    <definedName name="BUNDCHG1">#REF!</definedName>
    <definedName name="BUNDCHG2" localSheetId="6">#REF!</definedName>
    <definedName name="BUNDCHG2">#REF!</definedName>
    <definedName name="BUNECHG1" localSheetId="6">#REF!</definedName>
    <definedName name="BUNECHG1">#REF!</definedName>
    <definedName name="BUNECHGB1" localSheetId="6">#REF!</definedName>
    <definedName name="BUNECHGB1">#REF!</definedName>
    <definedName name="BUNECHGB2" localSheetId="6">#REF!</definedName>
    <definedName name="BUNECHGB2">#REF!</definedName>
    <definedName name="BUNECHGB3" localSheetId="6">#REF!</definedName>
    <definedName name="BUNECHGB3">#REF!</definedName>
    <definedName name="BUNECHGW" localSheetId="6">#REF!</definedName>
    <definedName name="BUNECHGW">#REF!</definedName>
    <definedName name="BUNKWH1" localSheetId="6">#REF!</definedName>
    <definedName name="BUNKWH1">#REF!</definedName>
    <definedName name="BUNKWHB1" localSheetId="6">#REF!</definedName>
    <definedName name="BUNKWHB1">#REF!</definedName>
    <definedName name="BUNKWHB2" localSheetId="6">#REF!</definedName>
    <definedName name="BUNKWHB2">#REF!</definedName>
    <definedName name="BUNKWHB3" localSheetId="6">#REF!</definedName>
    <definedName name="BUNKWHB3">#REF!</definedName>
    <definedName name="BUNKWHWH" localSheetId="6">#REF!</definedName>
    <definedName name="BUNKWHWH">#REF!</definedName>
    <definedName name="BUNMECHG1" localSheetId="6">#REF!</definedName>
    <definedName name="BUNMECHG1">#REF!</definedName>
    <definedName name="BUNOFKWH" localSheetId="6">#REF!</definedName>
    <definedName name="BUNOFKWH">#REF!</definedName>
    <definedName name="BUNOPKWH" localSheetId="6">#REF!</definedName>
    <definedName name="BUNOPKWH">#REF!</definedName>
    <definedName name="BUNP1EC" localSheetId="6">#REF!</definedName>
    <definedName name="BUNP1EC">#REF!</definedName>
    <definedName name="BUNP2EC" localSheetId="6">#REF!</definedName>
    <definedName name="BUNP2EC">#REF!</definedName>
    <definedName name="BUNP3EC" localSheetId="6">#REF!</definedName>
    <definedName name="BUNP3EC">#REF!</definedName>
    <definedName name="BUNP4EC" localSheetId="6">#REF!</definedName>
    <definedName name="BUNP4EC">#REF!</definedName>
    <definedName name="BUNP5EC" localSheetId="6">#REF!</definedName>
    <definedName name="BUNP5EC">#REF!</definedName>
    <definedName name="BUNPDMDCHG" localSheetId="6">#REF!</definedName>
    <definedName name="BUNPDMDCHG">#REF!</definedName>
    <definedName name="BUNRCHG" localSheetId="6">#REF!</definedName>
    <definedName name="BUNRCHG">#REF!</definedName>
    <definedName name="BUNXKVA" localSheetId="6">#REF!</definedName>
    <definedName name="BUNXKVA">#REF!</definedName>
    <definedName name="BUNXKVAPCT" localSheetId="6">#REF!</definedName>
    <definedName name="BUNXKVAPCT">#REF!</definedName>
    <definedName name="BUNXOFKW" localSheetId="6">#REF!</definedName>
    <definedName name="BUNXOFKW">#REF!</definedName>
    <definedName name="CALCPFCC" localSheetId="6">#REF!</definedName>
    <definedName name="CALCPFCC">#REF!</definedName>
    <definedName name="CAPDEFA" localSheetId="6">#REF!</definedName>
    <definedName name="CAPDEFA">#REF!</definedName>
    <definedName name="CBLKWH" localSheetId="6">#REF!</definedName>
    <definedName name="CBLKWH">#REF!</definedName>
    <definedName name="City" localSheetId="6">#REF!</definedName>
    <definedName name="City">#REF!</definedName>
    <definedName name="CNTRCTDMND" localSheetId="6">#REF!</definedName>
    <definedName name="CNTRCTDMND">#REF!</definedName>
    <definedName name="CoPhoneLine" localSheetId="6">#REF!</definedName>
    <definedName name="CoPhoneLine">#REF!</definedName>
    <definedName name="CRMOINTRPTHRS" localSheetId="6">#REF!</definedName>
    <definedName name="CRMOINTRPTHRS">#REF!</definedName>
    <definedName name="CRNTMOBTKWH" localSheetId="6">#REF!</definedName>
    <definedName name="CRNTMOBTKWH">#REF!</definedName>
    <definedName name="CRNTMOFPKHRS" localSheetId="6">#REF!</definedName>
    <definedName name="CRNTMOFPKHRS">#REF!</definedName>
    <definedName name="CRNTMONPKHRS" localSheetId="6">#REF!</definedName>
    <definedName name="CRNTMONPKHRS">#REF!</definedName>
    <definedName name="CRTLBLONPKHRS" localSheetId="6">#REF!</definedName>
    <definedName name="CRTLBLONPKHRS">#REF!</definedName>
    <definedName name="CRTLBLONPKKWH" localSheetId="6">#REF!</definedName>
    <definedName name="CRTLBLONPKKWH">#REF!</definedName>
    <definedName name="CSTMRCHG" localSheetId="6">#REF!</definedName>
    <definedName name="CSTMRCHG">#REF!</definedName>
    <definedName name="CurMoAddr1" localSheetId="6">#REF!</definedName>
    <definedName name="CurMoAddr1">#REF!</definedName>
    <definedName name="CurMoAddr2" localSheetId="6">#REF!</definedName>
    <definedName name="CurMoAddr2">#REF!</definedName>
    <definedName name="CurMoBTDetail" localSheetId="6">#REF!</definedName>
    <definedName name="CurMoBTDetail">#REF!</definedName>
    <definedName name="CurMoBuyThrgh_Sheet" localSheetId="6">#REF!</definedName>
    <definedName name="CurMoBuyThrgh_Sheet">#REF!</definedName>
    <definedName name="CurMoCityStZip" localSheetId="6">#REF!</definedName>
    <definedName name="CurMoCityStZip">#REF!</definedName>
    <definedName name="CurMoCustName" localSheetId="6">#REF!</definedName>
    <definedName name="CurMoCustName">#REF!</definedName>
    <definedName name="CurMoExcessAmt" localSheetId="6">#REF!</definedName>
    <definedName name="CurMoExcessAmt">#REF!</definedName>
    <definedName name="CurMoGrTaxAmt" localSheetId="6">#REF!</definedName>
    <definedName name="CurMoGrTaxAmt">#REF!</definedName>
    <definedName name="CurMoKWHExcess" localSheetId="6">#REF!</definedName>
    <definedName name="CurMoKWHExcess">#REF!</definedName>
    <definedName name="CurMoKWHNotUsed" localSheetId="6">#REF!</definedName>
    <definedName name="CurMoKWHNotUsed">#REF!</definedName>
    <definedName name="CurMoKWHRes" localSheetId="6">#REF!</definedName>
    <definedName name="CurMoKWHRes">#REF!</definedName>
    <definedName name="CurMoKWHSubTot" localSheetId="6">#REF!</definedName>
    <definedName name="CurMoKWHSubTot">#REF!</definedName>
    <definedName name="CurMoKWHTot" localSheetId="6">#REF!</definedName>
    <definedName name="CurMoKWHTot">#REF!</definedName>
    <definedName name="CurMoMtrMult" localSheetId="6">#REF!</definedName>
    <definedName name="CurMoMtrMult">#REF!</definedName>
    <definedName name="CurMoNotUsedAmt" localSheetId="6">#REF!</definedName>
    <definedName name="CurMoNotUsedAmt">#REF!</definedName>
    <definedName name="CurMoResAmt" localSheetId="6">#REF!</definedName>
    <definedName name="CurMoResAmt">#REF!</definedName>
    <definedName name="CurMoSubTotAmt" localSheetId="6">#REF!</definedName>
    <definedName name="CurMoSubTotAmt">#REF!</definedName>
    <definedName name="CurMoTotAmt" localSheetId="6">#REF!</definedName>
    <definedName name="CurMoTotAmt">#REF!</definedName>
    <definedName name="CurrYear" localSheetId="6">#REF!</definedName>
    <definedName name="CurrYear">#REF!</definedName>
    <definedName name="CustAddr1" localSheetId="6">#REF!</definedName>
    <definedName name="CustAddr1">#REF!</definedName>
    <definedName name="CustAddr2" localSheetId="6">#REF!</definedName>
    <definedName name="CustAddr2">#REF!</definedName>
    <definedName name="CustCityStZip" localSheetId="6">#REF!</definedName>
    <definedName name="CustCityStZip">#REF!</definedName>
    <definedName name="CustName2" localSheetId="6">#REF!</definedName>
    <definedName name="CustName2">#REF!</definedName>
    <definedName name="CustTable" localSheetId="6">#REF!</definedName>
    <definedName name="CustTable">#REF!</definedName>
    <definedName name="DetailTotCbl" localSheetId="6">#REF!</definedName>
    <definedName name="DetailTotCbl">#REF!</definedName>
    <definedName name="DetailTotChg" localSheetId="6">#REF!</definedName>
    <definedName name="DetailTotChg">#REF!</definedName>
    <definedName name="DetailTotKw" localSheetId="6">#REF!</definedName>
    <definedName name="DetailTotKw">#REF!</definedName>
    <definedName name="DetailTotMargin" localSheetId="6">#REF!</definedName>
    <definedName name="DetailTotMargin">#REF!</definedName>
    <definedName name="DIRPCCHG" localSheetId="6">#REF!</definedName>
    <definedName name="DIRPCCHG">#REF!</definedName>
    <definedName name="DIRPDCHG1" localSheetId="6">#REF!</definedName>
    <definedName name="DIRPDCHG1">#REF!</definedName>
    <definedName name="DIRPDCHG2" localSheetId="6">#REF!</definedName>
    <definedName name="DIRPDCHG2">#REF!</definedName>
    <definedName name="DIRPECHG1" localSheetId="6">#REF!</definedName>
    <definedName name="DIRPECHG1">#REF!</definedName>
    <definedName name="DIRPECHGB1" localSheetId="6">#REF!</definedName>
    <definedName name="DIRPECHGB1">#REF!</definedName>
    <definedName name="DIRPECHGB2" localSheetId="6">#REF!</definedName>
    <definedName name="DIRPECHGB2">#REF!</definedName>
    <definedName name="DIRPECHGB3" localSheetId="6">#REF!</definedName>
    <definedName name="DIRPECHGB3">#REF!</definedName>
    <definedName name="DIRPMECHG1" localSheetId="6">#REF!</definedName>
    <definedName name="DIRPMECHG1">#REF!</definedName>
    <definedName name="DIRPMINDC" localSheetId="6">#REF!</definedName>
    <definedName name="DIRPMINDC">#REF!</definedName>
    <definedName name="DIRPMINEC" localSheetId="6">#REF!</definedName>
    <definedName name="DIRPMINEC">#REF!</definedName>
    <definedName name="DIRPOFKVA" localSheetId="6">#REF!</definedName>
    <definedName name="DIRPOFKVA">#REF!</definedName>
    <definedName name="DIRPOFKW" localSheetId="6">#REF!</definedName>
    <definedName name="DIRPOFKW">#REF!</definedName>
    <definedName name="DIRPOFKWH" localSheetId="6">#REF!</definedName>
    <definedName name="DIRPOFKWH">#REF!</definedName>
    <definedName name="DIRPOPKWH" localSheetId="6">#REF!</definedName>
    <definedName name="DIRPOPKWH">#REF!</definedName>
    <definedName name="DIRPP1EC" localSheetId="6">#REF!</definedName>
    <definedName name="DIRPP1EC">#REF!</definedName>
    <definedName name="DIRPP2EC" localSheetId="6">#REF!</definedName>
    <definedName name="DIRPP2EC">#REF!</definedName>
    <definedName name="DIRPP3EC" localSheetId="6">#REF!</definedName>
    <definedName name="DIRPP3EC">#REF!</definedName>
    <definedName name="DIRPP4EC" localSheetId="6">#REF!</definedName>
    <definedName name="DIRPP4EC">#REF!</definedName>
    <definedName name="DIRPP5EC" localSheetId="6">#REF!</definedName>
    <definedName name="DIRPP5EC">#REF!</definedName>
    <definedName name="DIRPRCHG" localSheetId="6">#REF!</definedName>
    <definedName name="DIRPRCHG">#REF!</definedName>
    <definedName name="DisBlkKwhChg1" localSheetId="6">#REF!</definedName>
    <definedName name="DisBlkKwhChg1">#REF!</definedName>
    <definedName name="DisBlkKwhChg2" localSheetId="6">#REF!</definedName>
    <definedName name="DisBlkKwhChg2">#REF!</definedName>
    <definedName name="DisBlkKwhChg3" localSheetId="6">#REF!</definedName>
    <definedName name="DisBlkKwhChg3">#REF!</definedName>
    <definedName name="DisBlkKwhChgT" localSheetId="6">#REF!</definedName>
    <definedName name="DisBlkKwhChgT">#REF!</definedName>
    <definedName name="DisCustChg" localSheetId="6">#REF!</definedName>
    <definedName name="DisCustChg">#REF!</definedName>
    <definedName name="DisDmdChg1" localSheetId="6">#REF!</definedName>
    <definedName name="DisDmdChg1">#REF!</definedName>
    <definedName name="DisDmdChg2" localSheetId="6">#REF!</definedName>
    <definedName name="DisDmdChg2">#REF!</definedName>
    <definedName name="DisMEChg" localSheetId="6">#REF!</definedName>
    <definedName name="DisMEChg">#REF!</definedName>
    <definedName name="DisMinDChg" localSheetId="6">#REF!</definedName>
    <definedName name="DisMinDChg">#REF!</definedName>
    <definedName name="DisMinEChg" localSheetId="6">#REF!</definedName>
    <definedName name="DisMinEChg">#REF!</definedName>
    <definedName name="DisOffPkKwh" localSheetId="6">#REF!</definedName>
    <definedName name="DisOffPkKwh">#REF!</definedName>
    <definedName name="DisOnPkKwh" localSheetId="6">#REF!</definedName>
    <definedName name="DisOnPkKwh">#REF!</definedName>
    <definedName name="DisPL1Chg" localSheetId="6">#REF!</definedName>
    <definedName name="DisPL1Chg">#REF!</definedName>
    <definedName name="DisPL2Chg" localSheetId="6">#REF!</definedName>
    <definedName name="DisPL2Chg">#REF!</definedName>
    <definedName name="DisPL3Chg" localSheetId="6">#REF!</definedName>
    <definedName name="DisPL3Chg">#REF!</definedName>
    <definedName name="DisPL4Chg" localSheetId="6">#REF!</definedName>
    <definedName name="DisPL4Chg">#REF!</definedName>
    <definedName name="DisPL5Chg" localSheetId="6">#REF!</definedName>
    <definedName name="DisPL5Chg">#REF!</definedName>
    <definedName name="DisReactiveChg" localSheetId="6">#REF!</definedName>
    <definedName name="DisReactiveChg">#REF!</definedName>
    <definedName name="DisXOfpKvaChg" localSheetId="6">#REF!</definedName>
    <definedName name="DisXOfpKvaChg">#REF!</definedName>
    <definedName name="DisXOfpKwChg" localSheetId="6">#REF!</definedName>
    <definedName name="DisXOfpKwChg">#REF!</definedName>
    <definedName name="DSTCCHG" localSheetId="6">#REF!</definedName>
    <definedName name="DSTCCHG">#REF!</definedName>
    <definedName name="DSTDCHG1" localSheetId="6">#REF!</definedName>
    <definedName name="DSTDCHG1">#REF!</definedName>
    <definedName name="DSTDCHG2" localSheetId="6">#REF!</definedName>
    <definedName name="DSTDCHG2">#REF!</definedName>
    <definedName name="DSTECHG1" localSheetId="6">#REF!</definedName>
    <definedName name="DSTECHG1">#REF!</definedName>
    <definedName name="DSTECHGB1" localSheetId="6">#REF!</definedName>
    <definedName name="DSTECHGB1">#REF!</definedName>
    <definedName name="DSTECHGB2" localSheetId="6">#REF!</definedName>
    <definedName name="DSTECHGB2">#REF!</definedName>
    <definedName name="DSTECHGB3" localSheetId="6">#REF!</definedName>
    <definedName name="DSTECHGB3">#REF!</definedName>
    <definedName name="DSTMECHG1" localSheetId="6">#REF!</definedName>
    <definedName name="DSTMECHG1">#REF!</definedName>
    <definedName name="DSTMINDC" localSheetId="6">#REF!</definedName>
    <definedName name="DSTMINDC">#REF!</definedName>
    <definedName name="DSTMINEC" localSheetId="6">#REF!</definedName>
    <definedName name="DSTMINEC">#REF!</definedName>
    <definedName name="DSTOFKWH" localSheetId="6">#REF!</definedName>
    <definedName name="DSTOFKWH">#REF!</definedName>
    <definedName name="DSTOPKWH" localSheetId="6">#REF!</definedName>
    <definedName name="DSTOPKWH">#REF!</definedName>
    <definedName name="DSTP1EC" localSheetId="6">#REF!</definedName>
    <definedName name="DSTP1EC">#REF!</definedName>
    <definedName name="DSTP2EC" localSheetId="6">#REF!</definedName>
    <definedName name="DSTP2EC">#REF!</definedName>
    <definedName name="DSTP3EC" localSheetId="6">#REF!</definedName>
    <definedName name="DSTP3EC">#REF!</definedName>
    <definedName name="DSTP4EC" localSheetId="6">#REF!</definedName>
    <definedName name="DSTP4EC">#REF!</definedName>
    <definedName name="DSTP5EC" localSheetId="6">#REF!</definedName>
    <definedName name="DSTP5EC">#REF!</definedName>
    <definedName name="DSTRCHG" localSheetId="6">#REF!</definedName>
    <definedName name="DSTRCHG">#REF!</definedName>
    <definedName name="DSTXOFKVA" localSheetId="6">#REF!</definedName>
    <definedName name="DSTXOFKVA">#REF!</definedName>
    <definedName name="DSTXOFKW" localSheetId="6">#REF!</definedName>
    <definedName name="DSTXOFKW">#REF!</definedName>
    <definedName name="EDRBASE" localSheetId="6">#REF!</definedName>
    <definedName name="EDRBASE">#REF!</definedName>
    <definedName name="EDRDATE" localSheetId="6">#REF!</definedName>
    <definedName name="EDRDATE">#REF!</definedName>
    <definedName name="EDRDSCNT" localSheetId="6">#REF!</definedName>
    <definedName name="EDRDSCNT">#REF!</definedName>
    <definedName name="EDRLVLPCT" localSheetId="6">#REF!</definedName>
    <definedName name="EDRLVLPCT">#REF!</definedName>
    <definedName name="EDRTYPE" localSheetId="6">#REF!</definedName>
    <definedName name="EDRTYPE">#REF!</definedName>
    <definedName name="EffDate" localSheetId="6">#REF!</definedName>
    <definedName name="EffDate">#REF!</definedName>
    <definedName name="ELKMCGN1" localSheetId="6">#REF!</definedName>
    <definedName name="ELKMCGN1">#REF!</definedName>
    <definedName name="ELKMCGN2" localSheetId="6">#REF!</definedName>
    <definedName name="ELKMCGN2">#REF!</definedName>
    <definedName name="ENDDTM" localSheetId="6">#REF!</definedName>
    <definedName name="ENDDTM">#REF!</definedName>
    <definedName name="ENDTIME" localSheetId="6">#REF!</definedName>
    <definedName name="ENDTIME">#REF!</definedName>
    <definedName name="EstExcessAmt" localSheetId="6">#REF!</definedName>
    <definedName name="EstExcessAmt">#REF!</definedName>
    <definedName name="EstGrTaxAmt" localSheetId="6">#REF!</definedName>
    <definedName name="EstGrTaxAmt">#REF!</definedName>
    <definedName name="EstKWHExcess" localSheetId="6">#REF!</definedName>
    <definedName name="EstKWHExcess">#REF!</definedName>
    <definedName name="EstKWHNotUsed" localSheetId="6">#REF!</definedName>
    <definedName name="EstKWHNotUsed">#REF!</definedName>
    <definedName name="EstKWHRes" localSheetId="6">#REF!</definedName>
    <definedName name="EstKWHRes">#REF!</definedName>
    <definedName name="EstKWHSubTot" localSheetId="6">#REF!</definedName>
    <definedName name="EstKWHSubTot">#REF!</definedName>
    <definedName name="EstKWHTot" localSheetId="6">#REF!</definedName>
    <definedName name="EstKWHTot">#REF!</definedName>
    <definedName name="EstNotUsedAmt" localSheetId="6">#REF!</definedName>
    <definedName name="EstNotUsedAmt">#REF!</definedName>
    <definedName name="EstResAmt" localSheetId="6">#REF!</definedName>
    <definedName name="EstResAmt">#REF!</definedName>
    <definedName name="EstSubTotAmt" localSheetId="6">#REF!</definedName>
    <definedName name="EstSubTotAmt">#REF!</definedName>
    <definedName name="EstTotAmt" localSheetId="6">#REF!</definedName>
    <definedName name="EstTotAmt">#REF!</definedName>
    <definedName name="EXCSKVACHG" localSheetId="6">#REF!</definedName>
    <definedName name="EXCSKVACHG">#REF!</definedName>
    <definedName name="EXCSKVADMND" localSheetId="6">#REF!</definedName>
    <definedName name="EXCSKVADMND">#REF!</definedName>
    <definedName name="EXCSKVAR" localSheetId="6">#REF!</definedName>
    <definedName name="EXCSKVAR">#REF!</definedName>
    <definedName name="FIRMKWH" localSheetId="6">#REF!</definedName>
    <definedName name="FIRMKWH">#REF!</definedName>
    <definedName name="FIRSTDAY" localSheetId="6">#REF!</definedName>
    <definedName name="FIRSTDAY">#REF!</definedName>
    <definedName name="FRMCPCT" localSheetId="6">#REF!</definedName>
    <definedName name="FRMCPCT">#REF!</definedName>
    <definedName name="FUELCHG" localSheetId="6">#REF!</definedName>
    <definedName name="FUELCHG">#REF!</definedName>
    <definedName name="FUELRATE" localSheetId="6">#REF!</definedName>
    <definedName name="FUELRATE">#REF!</definedName>
    <definedName name="GenBlkKwhChg1" localSheetId="6">#REF!</definedName>
    <definedName name="GenBlkKwhChg1">#REF!</definedName>
    <definedName name="GenBlkKwhChg2" localSheetId="6">#REF!</definedName>
    <definedName name="GenBlkKwhChg2">#REF!</definedName>
    <definedName name="GenBlkKwhChg3" localSheetId="6">#REF!</definedName>
    <definedName name="GenBlkKwhChg3">#REF!</definedName>
    <definedName name="GenBlkKwhChgT" localSheetId="6">#REF!</definedName>
    <definedName name="GenBlkKwhChgT">#REF!</definedName>
    <definedName name="GENCCHG" localSheetId="6">#REF!</definedName>
    <definedName name="GENCCHG">#REF!</definedName>
    <definedName name="GenCustChg" localSheetId="6">#REF!</definedName>
    <definedName name="GenCustChg">#REF!</definedName>
    <definedName name="GENDCHG1" localSheetId="6">#REF!</definedName>
    <definedName name="GENDCHG1">#REF!</definedName>
    <definedName name="GENDCHG2" localSheetId="6">#REF!</definedName>
    <definedName name="GENDCHG2">#REF!</definedName>
    <definedName name="GenDmdChg1" localSheetId="6">#REF!</definedName>
    <definedName name="GenDmdChg1">#REF!</definedName>
    <definedName name="GenDmdChg2" localSheetId="6">#REF!</definedName>
    <definedName name="GenDmdChg2">#REF!</definedName>
    <definedName name="GENECHG1" localSheetId="6">#REF!</definedName>
    <definedName name="GENECHG1">#REF!</definedName>
    <definedName name="GENECHGB1" localSheetId="6">#REF!</definedName>
    <definedName name="GENECHGB1">#REF!</definedName>
    <definedName name="GENECHGB2" localSheetId="6">#REF!</definedName>
    <definedName name="GENECHGB2">#REF!</definedName>
    <definedName name="GENECHGB3" localSheetId="6">#REF!</definedName>
    <definedName name="GENECHGB3">#REF!</definedName>
    <definedName name="GenMEChg" localSheetId="6">#REF!</definedName>
    <definedName name="GenMEChg">#REF!</definedName>
    <definedName name="GENMECHG1" localSheetId="6">#REF!</definedName>
    <definedName name="GENMECHG1">#REF!</definedName>
    <definedName name="GENMINDC" localSheetId="6">#REF!</definedName>
    <definedName name="GENMINDC">#REF!</definedName>
    <definedName name="GenMinDChg" localSheetId="6">#REF!</definedName>
    <definedName name="GenMinDChg">#REF!</definedName>
    <definedName name="GENMINEC" localSheetId="6">#REF!</definedName>
    <definedName name="GENMINEC">#REF!</definedName>
    <definedName name="GenMinEChg" localSheetId="6">#REF!</definedName>
    <definedName name="GenMinEChg">#REF!</definedName>
    <definedName name="GenOffPkKwh" localSheetId="6">#REF!</definedName>
    <definedName name="GenOffPkKwh">#REF!</definedName>
    <definedName name="GENOFKWH" localSheetId="6">#REF!</definedName>
    <definedName name="GENOFKWH">#REF!</definedName>
    <definedName name="GenOnPkKwh" localSheetId="6">#REF!</definedName>
    <definedName name="GenOnPkKwh">#REF!</definedName>
    <definedName name="GENOPKWH" localSheetId="6">#REF!</definedName>
    <definedName name="GENOPKWH">#REF!</definedName>
    <definedName name="GENP1EC" localSheetId="6">#REF!</definedName>
    <definedName name="GENP1EC">#REF!</definedName>
    <definedName name="GENP2EC" localSheetId="6">#REF!</definedName>
    <definedName name="GENP2EC">#REF!</definedName>
    <definedName name="GENP3EC" localSheetId="6">#REF!</definedName>
    <definedName name="GENP3EC">#REF!</definedName>
    <definedName name="GENP4EC" localSheetId="6">#REF!</definedName>
    <definedName name="GENP4EC">#REF!</definedName>
    <definedName name="GENP5EC" localSheetId="6">#REF!</definedName>
    <definedName name="GENP5EC">#REF!</definedName>
    <definedName name="GenPL1Chg" localSheetId="6">#REF!</definedName>
    <definedName name="GenPL1Chg">#REF!</definedName>
    <definedName name="GenPL2Chg" localSheetId="6">#REF!</definedName>
    <definedName name="GenPL2Chg">#REF!</definedName>
    <definedName name="GenPL3Chg" localSheetId="6">#REF!</definedName>
    <definedName name="GenPL3Chg">#REF!</definedName>
    <definedName name="GenPL4Chg" localSheetId="6">#REF!</definedName>
    <definedName name="GenPL4Chg">#REF!</definedName>
    <definedName name="GenPL5Chg" localSheetId="6">#REF!</definedName>
    <definedName name="GenPL5Chg">#REF!</definedName>
    <definedName name="GENRCHG" localSheetId="6">#REF!</definedName>
    <definedName name="GENRCHG">#REF!</definedName>
    <definedName name="GenReactiveChg" localSheetId="6">#REF!</definedName>
    <definedName name="GenReactiveChg">#REF!</definedName>
    <definedName name="GENXOFKVA" localSheetId="6">#REF!</definedName>
    <definedName name="GENXOFKVA">#REF!</definedName>
    <definedName name="GENXOFKW" localSheetId="6">#REF!</definedName>
    <definedName name="GENXOFKW">#REF!</definedName>
    <definedName name="GenXOfpKvaChg" localSheetId="6">#REF!</definedName>
    <definedName name="GenXOfpKvaChg">#REF!</definedName>
    <definedName name="GenXOfpKwChg" localSheetId="6">#REF!</definedName>
    <definedName name="GenXOfpKwChg">#REF!</definedName>
    <definedName name="GIRPCCHG" localSheetId="6">#REF!</definedName>
    <definedName name="GIRPCCHG">#REF!</definedName>
    <definedName name="GIRPDCHG1" localSheetId="6">#REF!</definedName>
    <definedName name="GIRPDCHG1">#REF!</definedName>
    <definedName name="GIRPDCHG2" localSheetId="6">#REF!</definedName>
    <definedName name="GIRPDCHG2">#REF!</definedName>
    <definedName name="GIRPECHG1" localSheetId="6">#REF!</definedName>
    <definedName name="GIRPECHG1">#REF!</definedName>
    <definedName name="GIRPECHGB1" localSheetId="6">#REF!</definedName>
    <definedName name="GIRPECHGB1">#REF!</definedName>
    <definedName name="GIRPECHGB2" localSheetId="6">#REF!</definedName>
    <definedName name="GIRPECHGB2">#REF!</definedName>
    <definedName name="GIRPECHGB3" localSheetId="6">#REF!</definedName>
    <definedName name="GIRPECHGB3">#REF!</definedName>
    <definedName name="GIRPMECHG1" localSheetId="6">#REF!</definedName>
    <definedName name="GIRPMECHG1">#REF!</definedName>
    <definedName name="GIRPMINDC" localSheetId="6">#REF!</definedName>
    <definedName name="GIRPMINDC">#REF!</definedName>
    <definedName name="GIRPMINEC" localSheetId="6">#REF!</definedName>
    <definedName name="GIRPMINEC">#REF!</definedName>
    <definedName name="GIRPOFKVA" localSheetId="6">#REF!</definedName>
    <definedName name="GIRPOFKVA">#REF!</definedName>
    <definedName name="GIRPOFKW" localSheetId="6">#REF!</definedName>
    <definedName name="GIRPOFKW">#REF!</definedName>
    <definedName name="GIRPOFKWH" localSheetId="6">#REF!</definedName>
    <definedName name="GIRPOFKWH">#REF!</definedName>
    <definedName name="GIRPOPKWH" localSheetId="6">#REF!</definedName>
    <definedName name="GIRPOPKWH">#REF!</definedName>
    <definedName name="GIRPP1EC" localSheetId="6">#REF!</definedName>
    <definedName name="GIRPP1EC">#REF!</definedName>
    <definedName name="GIRPP2EC" localSheetId="6">#REF!</definedName>
    <definedName name="GIRPP2EC">#REF!</definedName>
    <definedName name="GIRPP3EC" localSheetId="6">#REF!</definedName>
    <definedName name="GIRPP3EC">#REF!</definedName>
    <definedName name="GIRPP4EC" localSheetId="6">#REF!</definedName>
    <definedName name="GIRPP4EC">#REF!</definedName>
    <definedName name="GIRPP5EC" localSheetId="6">#REF!</definedName>
    <definedName name="GIRPP5EC">#REF!</definedName>
    <definedName name="GIRPRCHG" localSheetId="6">#REF!</definedName>
    <definedName name="GIRPRCHG">#REF!</definedName>
    <definedName name="HEADA" localSheetId="6">#REF!</definedName>
    <definedName name="HEADA">#REF!</definedName>
    <definedName name="HEADB" localSheetId="6">#REF!</definedName>
    <definedName name="HEADB">#REF!</definedName>
    <definedName name="HEADC" localSheetId="6">#REF!</definedName>
    <definedName name="HEADC">#REF!</definedName>
    <definedName name="HEADD" localSheetId="6">#REF!</definedName>
    <definedName name="HEADD">#REF!</definedName>
    <definedName name="HIPREKW" localSheetId="6">#REF!</definedName>
    <definedName name="HIPREKW">#REF!</definedName>
    <definedName name="HRCRDKW" localSheetId="6">#REF!</definedName>
    <definedName name="HRCRDKW">#REF!</definedName>
    <definedName name="HRCRDKWDT" localSheetId="6">#REF!</definedName>
    <definedName name="HRCRDKWDT">#REF!</definedName>
    <definedName name="HRCRDKWTM" localSheetId="6">#REF!</definedName>
    <definedName name="HRCRDKWTM">#REF!</definedName>
    <definedName name="HROFPKDT" localSheetId="6">#REF!</definedName>
    <definedName name="HROFPKDT">#REF!</definedName>
    <definedName name="HROFPKKW" localSheetId="6">#REF!</definedName>
    <definedName name="HROFPKKW">#REF!</definedName>
    <definedName name="HROFPKTM" localSheetId="6">#REF!</definedName>
    <definedName name="HROFPKTM">#REF!</definedName>
    <definedName name="HRONPKDT" localSheetId="6">#REF!</definedName>
    <definedName name="HRONPKDT">#REF!</definedName>
    <definedName name="HRONPKKW" localSheetId="6">#REF!</definedName>
    <definedName name="HRONPKKW">#REF!</definedName>
    <definedName name="HRONPKTM" localSheetId="6">#REF!</definedName>
    <definedName name="HRONPKTM">#REF!</definedName>
    <definedName name="IMCO" localSheetId="6">#REF!</definedName>
    <definedName name="IMCO">#REF!</definedName>
    <definedName name="InterruptCapacity" localSheetId="6">#REF!</definedName>
    <definedName name="InterruptCapacity">#REF!</definedName>
    <definedName name="InterruptOfpCapacity" localSheetId="6">#REF!</definedName>
    <definedName name="InterruptOfpCapacity">#REF!</definedName>
    <definedName name="InterruptType" localSheetId="6">#REF!</definedName>
    <definedName name="InterruptType">#REF!</definedName>
    <definedName name="INTRPBLCAP" localSheetId="6">#REF!</definedName>
    <definedName name="INTRPBLCAP">#REF!</definedName>
    <definedName name="Invdetails" localSheetId="6">#REF!</definedName>
    <definedName name="Invdetails">#REF!</definedName>
    <definedName name="KWCHG" localSheetId="6">#REF!</definedName>
    <definedName name="KWCHG">#REF!</definedName>
    <definedName name="KWH1NOCMM" localSheetId="6">#REF!</definedName>
    <definedName name="KWH1NOCMM">#REF!</definedName>
    <definedName name="KWH3NOCMM" localSheetId="6">#REF!</definedName>
    <definedName name="KWH3NOCMM">#REF!</definedName>
    <definedName name="KWHCHG" localSheetId="6">#REF!</definedName>
    <definedName name="KWHCHG">#REF!</definedName>
    <definedName name="LASTDAY" localSheetId="6">#REF!</definedName>
    <definedName name="LASTDAY">#REF!</definedName>
    <definedName name="LASTFUEL" localSheetId="6">#REF!</definedName>
    <definedName name="LASTFUEL">#REF!</definedName>
    <definedName name="LASTMSRR" localSheetId="6">#REF!</definedName>
    <definedName name="LASTMSRR">#REF!</definedName>
    <definedName name="LASTPFCC" localSheetId="6">#REF!</definedName>
    <definedName name="LASTPFCC">#REF!</definedName>
    <definedName name="LDFCTR" localSheetId="6">#REF!</definedName>
    <definedName name="LDFCTR">#REF!</definedName>
    <definedName name="LRCREDIT" localSheetId="6">#REF!</definedName>
    <definedName name="LRCREDIT">#REF!</definedName>
    <definedName name="MACC1" localSheetId="6">#REF!</definedName>
    <definedName name="MACC1">#REF!</definedName>
    <definedName name="MACC2" localSheetId="6">#REF!</definedName>
    <definedName name="MACC2">#REF!</definedName>
    <definedName name="MAINTHRSCRMO" localSheetId="6">#REF!</definedName>
    <definedName name="MAINTHRSCRMO">#REF!</definedName>
    <definedName name="MAINTKWH" localSheetId="6">#REF!</definedName>
    <definedName name="MAINTKWH">#REF!</definedName>
    <definedName name="MinBillDem" localSheetId="6">#REF!</definedName>
    <definedName name="MinBillDem">#REF!</definedName>
    <definedName name="MinBillDem2" localSheetId="6">#REF!</definedName>
    <definedName name="MinBillDem2">#REF!</definedName>
    <definedName name="MinBillDmd" localSheetId="6">#REF!</definedName>
    <definedName name="MinBillDmd">#REF!</definedName>
    <definedName name="MSRRBLD" localSheetId="6">#REF!</definedName>
    <definedName name="MSRRBLD">#REF!</definedName>
    <definedName name="MSRRCHG" localSheetId="6">#REF!</definedName>
    <definedName name="MSRRCHG">#REF!</definedName>
    <definedName name="MTRMLTPLR1" localSheetId="6">#REF!</definedName>
    <definedName name="MTRMLTPLR1">#REF!</definedName>
    <definedName name="MTRMLTPLR2" localSheetId="6">#REF!</definedName>
    <definedName name="MTRMLTPLR2">#REF!</definedName>
    <definedName name="NETMRGCHG" localSheetId="6">#REF!</definedName>
    <definedName name="NETMRGCHG">#REF!</definedName>
    <definedName name="NODAYSINPRD" localSheetId="6">#REF!</definedName>
    <definedName name="NODAYSINPRD">#REF!</definedName>
    <definedName name="NODELPOINTS" localSheetId="6">#REF!</definedName>
    <definedName name="NODELPOINTS">#REF!</definedName>
    <definedName name="np">#REF!</definedName>
    <definedName name="NP_h">#REF!</definedName>
    <definedName name="NP_h1" localSheetId="6">#REF!</definedName>
    <definedName name="NP_h1">#REF!</definedName>
    <definedName name="NvsASD">"V2006-12-31"</definedName>
    <definedName name="NvsAutoDrillOk">"VN"</definedName>
    <definedName name="NvsElapsedTime">0.000231481484661344</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 localSheetId="6">#REF!</definedName>
    <definedName name="OFPCBLKW">#REF!</definedName>
    <definedName name="OFPKBILLKWH" localSheetId="6">#REF!</definedName>
    <definedName name="OFPKBILLKWH">#REF!</definedName>
    <definedName name="OFPKCGNKWH" localSheetId="6">#REF!</definedName>
    <definedName name="OFPKCGNKWH">#REF!</definedName>
    <definedName name="OFPKCNTRCTCPCT" localSheetId="6">#REF!</definedName>
    <definedName name="OFPKCNTRCTCPCT">#REF!</definedName>
    <definedName name="OFPKDMPKWH" localSheetId="6">#REF!</definedName>
    <definedName name="OFPKDMPKWH">#REF!</definedName>
    <definedName name="OFPKDSCRKWH" localSheetId="6">#REF!</definedName>
    <definedName name="OFPKDSCRKWH">#REF!</definedName>
    <definedName name="OFPKDT" localSheetId="6">#REF!</definedName>
    <definedName name="OFPKDT">#REF!</definedName>
    <definedName name="OFPKEXCSKW" localSheetId="6">#REF!</definedName>
    <definedName name="OFPKEXCSKW">#REF!</definedName>
    <definedName name="OFPKINCRKWH" localSheetId="6">#REF!</definedName>
    <definedName name="OFPKINCRKWH">#REF!</definedName>
    <definedName name="OFPKKVADT" localSheetId="6">#REF!</definedName>
    <definedName name="OFPKKVADT">#REF!</definedName>
    <definedName name="OFPKKVATM" localSheetId="6">#REF!</definedName>
    <definedName name="OFPKKVATM">#REF!</definedName>
    <definedName name="OFPKKVW" localSheetId="6">#REF!</definedName>
    <definedName name="OFPKKVW">#REF!</definedName>
    <definedName name="OFPKKW" localSheetId="6">#REF!</definedName>
    <definedName name="OFPKKW">#REF!</definedName>
    <definedName name="OFPKKWH1NOCMM" localSheetId="6">#REF!</definedName>
    <definedName name="OFPKKWH1NOCMM">#REF!</definedName>
    <definedName name="OFPKKWH3NOCMM" localSheetId="6">#REF!</definedName>
    <definedName name="OFPKKWH3NOCMM">#REF!</definedName>
    <definedName name="OFPKRCRDKWH" localSheetId="6">#REF!</definedName>
    <definedName name="OFPKRCRDKWH">#REF!</definedName>
    <definedName name="OFPKTM" localSheetId="6">#REF!</definedName>
    <definedName name="OFPKTM">#REF!</definedName>
    <definedName name="OFPXCSKW" localSheetId="6">#REF!</definedName>
    <definedName name="OFPXCSKW">#REF!</definedName>
    <definedName name="OFPXCSKWDT" localSheetId="6">#REF!</definedName>
    <definedName name="OFPXCSKWDT">#REF!</definedName>
    <definedName name="OFPXCSKWH" localSheetId="6">#REF!</definedName>
    <definedName name="OFPXCSKWH">#REF!</definedName>
    <definedName name="OFPXCSKWTM" localSheetId="6">#REF!</definedName>
    <definedName name="OFPXCSKWTM">#REF!</definedName>
    <definedName name="ONPKBILLKWH" localSheetId="6">#REF!</definedName>
    <definedName name="ONPKBILLKWH">#REF!</definedName>
    <definedName name="ONPKCAPB" localSheetId="6">#REF!</definedName>
    <definedName name="ONPKCAPB">#REF!</definedName>
    <definedName name="ONPKCGNKWH" localSheetId="6">#REF!</definedName>
    <definedName name="ONPKCGNKWH">#REF!</definedName>
    <definedName name="ONPKCNTRCTCPCT" localSheetId="6">#REF!</definedName>
    <definedName name="ONPKCNTRCTCPCT">#REF!</definedName>
    <definedName name="ONPKDMPKWH" localSheetId="6">#REF!</definedName>
    <definedName name="ONPKDMPKWH">#REF!</definedName>
    <definedName name="ONPKDSCRKWH" localSheetId="6">#REF!</definedName>
    <definedName name="ONPKDSCRKWH">#REF!</definedName>
    <definedName name="ONPKDT" localSheetId="6">#REF!</definedName>
    <definedName name="ONPKDT">#REF!</definedName>
    <definedName name="ONPKINCRKWH" localSheetId="6">#REF!</definedName>
    <definedName name="ONPKINCRKWH">#REF!</definedName>
    <definedName name="ONPKKVA" localSheetId="6">#REF!</definedName>
    <definedName name="ONPKKVA">#REF!</definedName>
    <definedName name="ONPKKVADT" localSheetId="6">#REF!</definedName>
    <definedName name="ONPKKVADT">#REF!</definedName>
    <definedName name="ONPKKVATM" localSheetId="6">#REF!</definedName>
    <definedName name="ONPKKVATM">#REF!</definedName>
    <definedName name="ONPKKW" localSheetId="6">#REF!</definedName>
    <definedName name="ONPKKW">#REF!</definedName>
    <definedName name="ONPKKWH1NOCMM" localSheetId="6">#REF!</definedName>
    <definedName name="ONPKKWH1NOCMM">#REF!</definedName>
    <definedName name="ONPKKWH3NOCMM" localSheetId="6">#REF!</definedName>
    <definedName name="ONPKKWH3NOCMM">#REF!</definedName>
    <definedName name="ONPKRCRDKWH" localSheetId="6">#REF!</definedName>
    <definedName name="ONPKRCRDKWH">#REF!</definedName>
    <definedName name="ONPKTM" localSheetId="6">#REF!</definedName>
    <definedName name="ONPKTM">#REF!</definedName>
    <definedName name="OPCBLKW" localSheetId="6">#REF!</definedName>
    <definedName name="OPCBLKW">#REF!</definedName>
    <definedName name="OPCO" localSheetId="6">#REF!</definedName>
    <definedName name="OPCO">#REF!</definedName>
    <definedName name="OPXCSKW" localSheetId="6">#REF!</definedName>
    <definedName name="OPXCSKW">#REF!</definedName>
    <definedName name="OPXCSKWDT" localSheetId="6">#REF!</definedName>
    <definedName name="OPXCSKWDT">#REF!</definedName>
    <definedName name="OPXCSKWH" localSheetId="6">#REF!</definedName>
    <definedName name="OPXCSKWH">#REF!</definedName>
    <definedName name="OPXCSKWTM" localSheetId="6">#REF!</definedName>
    <definedName name="OPXCSKWTM">#REF!</definedName>
    <definedName name="OTHRTRNSKWH" localSheetId="6">#REF!</definedName>
    <definedName name="OTHRTRNSKWH">#REF!</definedName>
    <definedName name="P1PENPERC" localSheetId="6">#REF!</definedName>
    <definedName name="P1PENPERC">#REF!</definedName>
    <definedName name="P2PENPERC" localSheetId="6">#REF!</definedName>
    <definedName name="P2PENPERC">#REF!</definedName>
    <definedName name="PAGEA" localSheetId="6">#REF!</definedName>
    <definedName name="PAGEA">#REF!</definedName>
    <definedName name="PAGEB" localSheetId="6">#REF!</definedName>
    <definedName name="PAGEB">#REF!</definedName>
    <definedName name="PAGEC" localSheetId="6">#REF!</definedName>
    <definedName name="PAGEC">#REF!</definedName>
    <definedName name="PAGED" localSheetId="6">#REF!</definedName>
    <definedName name="PAGED">#REF!</definedName>
    <definedName name="PeakDemandChg" localSheetId="6">#REF!</definedName>
    <definedName name="PeakDemandChg">#REF!</definedName>
    <definedName name="PenaltyDays" localSheetId="6">#REF!</definedName>
    <definedName name="PenaltyDays">#REF!</definedName>
    <definedName name="PenaltyPct" localSheetId="6">#REF!</definedName>
    <definedName name="PenaltyPct">#REF!</definedName>
    <definedName name="PENDAYS" localSheetId="6">#REF!</definedName>
    <definedName name="PENDAYS">#REF!</definedName>
    <definedName name="PENDAYS2" localSheetId="6">#REF!</definedName>
    <definedName name="PENDAYS2">#REF!</definedName>
    <definedName name="PFCC" localSheetId="6">#REF!</definedName>
    <definedName name="PFCC">#REF!</definedName>
    <definedName name="PKKVAR" localSheetId="6">#REF!</definedName>
    <definedName name="PKKVAR">#REF!</definedName>
    <definedName name="PKKVARDATE" localSheetId="6">#REF!</definedName>
    <definedName name="PKKVARDATE">#REF!</definedName>
    <definedName name="PKKVARTIME" localSheetId="6">#REF!</definedName>
    <definedName name="PKKVARTIME">#REF!</definedName>
    <definedName name="PLVLKWH1" localSheetId="6">#REF!</definedName>
    <definedName name="PLVLKWH1">#REF!</definedName>
    <definedName name="PLVLKWH1A" localSheetId="6">#REF!</definedName>
    <definedName name="PLVLKWH1A">#REF!</definedName>
    <definedName name="PLVLKWH2" localSheetId="6">#REF!</definedName>
    <definedName name="PLVLKWH2">#REF!</definedName>
    <definedName name="PLVLKWH23A" localSheetId="6">#REF!</definedName>
    <definedName name="PLVLKWH23A">#REF!</definedName>
    <definedName name="PLVLKWH25" localSheetId="6">#REF!</definedName>
    <definedName name="PLVLKWH25">#REF!</definedName>
    <definedName name="PLVLKWH2A" localSheetId="6">#REF!</definedName>
    <definedName name="PLVLKWH2A">#REF!</definedName>
    <definedName name="PLVLKWH3" localSheetId="6">#REF!</definedName>
    <definedName name="PLVLKWH3">#REF!</definedName>
    <definedName name="PLVLKWH3A" localSheetId="6">#REF!</definedName>
    <definedName name="PLVLKWH3A">#REF!</definedName>
    <definedName name="PLVLKWH4" localSheetId="6">#REF!</definedName>
    <definedName name="PLVLKWH4">#REF!</definedName>
    <definedName name="PLVLKWH4A" localSheetId="6">#REF!</definedName>
    <definedName name="PLVLKWH4A">#REF!</definedName>
    <definedName name="PRICEDESIG" localSheetId="6">#REF!</definedName>
    <definedName name="PRICEDESIG">#REF!</definedName>
    <definedName name="PriMoAddr1" localSheetId="6">#REF!</definedName>
    <definedName name="PriMoAddr1">#REF!</definedName>
    <definedName name="PriMoAddr2" localSheetId="6">#REF!</definedName>
    <definedName name="PriMoAddr2">#REF!</definedName>
    <definedName name="PriMoBTDetail" localSheetId="6">#REF!</definedName>
    <definedName name="PriMoBTDetail">#REF!</definedName>
    <definedName name="PriMoBuyThrgh_Sheet" localSheetId="6">#REF!</definedName>
    <definedName name="PriMoBuyThrgh_Sheet">#REF!</definedName>
    <definedName name="PriMoCityStZip" localSheetId="6">#REF!</definedName>
    <definedName name="PriMoCityStZip">#REF!</definedName>
    <definedName name="PriMoCustName" localSheetId="6">#REF!</definedName>
    <definedName name="PriMoCustName">#REF!</definedName>
    <definedName name="PriMoMtrMult" localSheetId="6">#REF!</definedName>
    <definedName name="PriMoMtrMult">#REF!</definedName>
    <definedName name="_xlnm.Print_Area" localSheetId="22">#REF!</definedName>
    <definedName name="_xlnm.Print_Area" localSheetId="23">'KGP - WS P Dep. Rates'!$A$1:$G$49</definedName>
    <definedName name="_xlnm.Print_Area" localSheetId="0">TCOS!$A$1:$L$393</definedName>
    <definedName name="_xlnm.Print_Area" localSheetId="26">'WPC-WS P Dep. Rates'!#REF!</definedName>
    <definedName name="_xlnm.Print_Area" localSheetId="5">'WS B-3'!$A$1:$R$66</definedName>
    <definedName name="_xlnm.Print_Area" localSheetId="6">'WS B-3-A'!$A$1:$N$60</definedName>
    <definedName name="_xlnm.Print_Area" localSheetId="11">'WS G  State Tax Rate'!$A$1:$H$41</definedName>
    <definedName name="_xlnm.Print_Area" localSheetId="16">'WS K TRUE-UP RTEP RR'!$A$1:$P$1209</definedName>
    <definedName name="_xlnm.Print_Area" localSheetId="20">'WS O - PBOP'!$A$1:$K$57</definedName>
    <definedName name="_xlnm.Print_Area" localSheetId="27">'WSQ NSPL'!$A$1:$K$62</definedName>
    <definedName name="_xlnm.Print_Area" localSheetId="28">'WSQ Schedule 12'!$A$1:$K$64</definedName>
    <definedName name="_xlnm.Print_Area">#REF!</definedName>
    <definedName name="_xlnm.Print_Titles" localSheetId="26">'WPC-WS P Dep. Rates'!#REF!</definedName>
    <definedName name="PRVCNT" localSheetId="22">#REF!</definedName>
    <definedName name="PRVCNT" localSheetId="6">#REF!</definedName>
    <definedName name="PRVCNT">#REF!</definedName>
    <definedName name="PRVDATE" localSheetId="22">#REF!</definedName>
    <definedName name="PRVDATE" localSheetId="6">#REF!</definedName>
    <definedName name="PRVDATE">#REF!</definedName>
    <definedName name="PRVFUEL" localSheetId="22">#REF!</definedName>
    <definedName name="PRVFUEL" localSheetId="6">#REF!</definedName>
    <definedName name="PRVFUEL">#REF!</definedName>
    <definedName name="PRVKW" localSheetId="6">#REF!</definedName>
    <definedName name="PRVKW">#REF!</definedName>
    <definedName name="PRVKWH" localSheetId="6">#REF!</definedName>
    <definedName name="PRVKWH">#REF!</definedName>
    <definedName name="PRVMSRR" localSheetId="6">#REF!</definedName>
    <definedName name="PRVMSRR">#REF!</definedName>
    <definedName name="PRVPFCC" localSheetId="6">#REF!</definedName>
    <definedName name="PRVPFCC">#REF!</definedName>
    <definedName name="PSO_Proj_Allocators" localSheetId="6">#REF!</definedName>
    <definedName name="PSO_Proj_Allocators">#REF!</definedName>
    <definedName name="PSOallocatorsP" localSheetId="6">#REF!</definedName>
    <definedName name="PSOallocatorsP">#REF!</definedName>
    <definedName name="PVHIOFPCBL" localSheetId="6">#REF!</definedName>
    <definedName name="PVHIOFPCBL">#REF!</definedName>
    <definedName name="PVHIOPCBL" localSheetId="6">#REF!</definedName>
    <definedName name="PVHIOPCBL">#REF!</definedName>
    <definedName name="RatchetFactor" localSheetId="6">#REF!</definedName>
    <definedName name="RatchetFactor">#REF!</definedName>
    <definedName name="RCRDRID" localSheetId="6">#REF!</definedName>
    <definedName name="RCRDRID">#REF!</definedName>
    <definedName name="RCTVHRS" localSheetId="6">#REF!</definedName>
    <definedName name="RCTVHRS">#REF!</definedName>
    <definedName name="RDRBLK1C" localSheetId="6">#REF!</definedName>
    <definedName name="RDRBLK1C">#REF!</definedName>
    <definedName name="RDRBLK1Q" localSheetId="6">#REF!</definedName>
    <definedName name="RDRBLK1Q">#REF!</definedName>
    <definedName name="RDRBLK2C" localSheetId="6">#REF!</definedName>
    <definedName name="RDRBLK2C">#REF!</definedName>
    <definedName name="RDRBLK2Q" localSheetId="6">#REF!</definedName>
    <definedName name="RDRBLK2Q">#REF!</definedName>
    <definedName name="RDRBLK3C" localSheetId="6">#REF!</definedName>
    <definedName name="RDRBLK3C">#REF!</definedName>
    <definedName name="RDRBLK3Q" localSheetId="6">#REF!</definedName>
    <definedName name="RDRBLK3Q">#REF!</definedName>
    <definedName name="RDRBLKTC" localSheetId="6">#REF!</definedName>
    <definedName name="RDRBLKTC">#REF!</definedName>
    <definedName name="RDRBLKTC1" localSheetId="6">#REF!</definedName>
    <definedName name="RDRBLKTC1">#REF!</definedName>
    <definedName name="RDRBLKTC10" localSheetId="6">#REF!</definedName>
    <definedName name="RDRBLKTC10">#REF!</definedName>
    <definedName name="RDRBLKTC11" localSheetId="6">#REF!</definedName>
    <definedName name="RDRBLKTC11">#REF!</definedName>
    <definedName name="RDRBLKTC12" localSheetId="6">#REF!</definedName>
    <definedName name="RDRBLKTC12">#REF!</definedName>
    <definedName name="RDRBLKTC13" localSheetId="6">#REF!</definedName>
    <definedName name="RDRBLKTC13">#REF!</definedName>
    <definedName name="RDRBLKTC14" localSheetId="6">#REF!</definedName>
    <definedName name="RDRBLKTC14">#REF!</definedName>
    <definedName name="RDRBLKTC15" localSheetId="6">#REF!</definedName>
    <definedName name="RDRBLKTC15">#REF!</definedName>
    <definedName name="RDRBLKTC16" localSheetId="6">#REF!</definedName>
    <definedName name="RDRBLKTC16">#REF!</definedName>
    <definedName name="RDRBLKTC17" localSheetId="6">#REF!</definedName>
    <definedName name="RDRBLKTC17">#REF!</definedName>
    <definedName name="RDRBLKTC18" localSheetId="6">#REF!</definedName>
    <definedName name="RDRBLKTC18">#REF!</definedName>
    <definedName name="RDRBLKTC19" localSheetId="6">#REF!</definedName>
    <definedName name="RDRBLKTC19">#REF!</definedName>
    <definedName name="RDRBLKTC2" localSheetId="6">#REF!</definedName>
    <definedName name="RDRBLKTC2">#REF!</definedName>
    <definedName name="RDRBLKTC20" localSheetId="6">#REF!</definedName>
    <definedName name="RDRBLKTC20">#REF!</definedName>
    <definedName name="RDRBLKTC3" localSheetId="6">#REF!</definedName>
    <definedName name="RDRBLKTC3">#REF!</definedName>
    <definedName name="RDRBLKTC4" localSheetId="6">#REF!</definedName>
    <definedName name="RDRBLKTC4">#REF!</definedName>
    <definedName name="RDRBLKTC5" localSheetId="6">#REF!</definedName>
    <definedName name="RDRBLKTC5">#REF!</definedName>
    <definedName name="RDRBLKTC6" localSheetId="6">#REF!</definedName>
    <definedName name="RDRBLKTC6">#REF!</definedName>
    <definedName name="RDRBLKTC7" localSheetId="6">#REF!</definedName>
    <definedName name="RDRBLKTC7">#REF!</definedName>
    <definedName name="RDRBLKTC8" localSheetId="6">#REF!</definedName>
    <definedName name="RDRBLKTC8">#REF!</definedName>
    <definedName name="RDRBLKTC9" localSheetId="6">#REF!</definedName>
    <definedName name="RDRBLKTC9">#REF!</definedName>
    <definedName name="RDRBLKTQ" localSheetId="6">#REF!</definedName>
    <definedName name="RDRBLKTQ">#REF!</definedName>
    <definedName name="RDRCODE" localSheetId="6">#REF!</definedName>
    <definedName name="RDRCODE">#REF!</definedName>
    <definedName name="RDRCYCLE" localSheetId="6">#REF!</definedName>
    <definedName name="RDRCYCLE">#REF!</definedName>
    <definedName name="RDRDATE" localSheetId="6">#REF!</definedName>
    <definedName name="RDRDATE">#REF!</definedName>
    <definedName name="RDRNAME" localSheetId="6">#REF!</definedName>
    <definedName name="RDRNAME">#REF!</definedName>
    <definedName name="RDRRATEB" localSheetId="6">#REF!</definedName>
    <definedName name="RDRRATEB">#REF!</definedName>
    <definedName name="RDRRATEB1" localSheetId="6">#REF!</definedName>
    <definedName name="RDRRATEB1">#REF!</definedName>
    <definedName name="RDRRATEB10" localSheetId="6">#REF!</definedName>
    <definedName name="RDRRATEB10">#REF!</definedName>
    <definedName name="RDRRATEB11" localSheetId="6">#REF!</definedName>
    <definedName name="RDRRATEB11">#REF!</definedName>
    <definedName name="RDRRATEB12" localSheetId="6">#REF!</definedName>
    <definedName name="RDRRATEB12">#REF!</definedName>
    <definedName name="RDRRATEB13" localSheetId="6">#REF!</definedName>
    <definedName name="RDRRATEB13">#REF!</definedName>
    <definedName name="RDRRATEB14" localSheetId="6">#REF!</definedName>
    <definedName name="RDRRATEB14">#REF!</definedName>
    <definedName name="RDRRATEB15" localSheetId="6">#REF!</definedName>
    <definedName name="RDRRATEB15">#REF!</definedName>
    <definedName name="RDRRATEB16" localSheetId="6">#REF!</definedName>
    <definedName name="RDRRATEB16">#REF!</definedName>
    <definedName name="RDRRATEB17" localSheetId="6">#REF!</definedName>
    <definedName name="RDRRATEB17">#REF!</definedName>
    <definedName name="RDRRATEB18" localSheetId="6">#REF!</definedName>
    <definedName name="RDRRATEB18">#REF!</definedName>
    <definedName name="RDRRATEB19" localSheetId="6">#REF!</definedName>
    <definedName name="RDRRATEB19">#REF!</definedName>
    <definedName name="RDRRATEB2" localSheetId="6">#REF!</definedName>
    <definedName name="RDRRATEB2">#REF!</definedName>
    <definedName name="RDRRATEB20" localSheetId="6">#REF!</definedName>
    <definedName name="RDRRATEB20">#REF!</definedName>
    <definedName name="RDRRATEB3" localSheetId="6">#REF!</definedName>
    <definedName name="RDRRATEB3">#REF!</definedName>
    <definedName name="RDRRATEB4" localSheetId="6">#REF!</definedName>
    <definedName name="RDRRATEB4">#REF!</definedName>
    <definedName name="RDRRATEB5" localSheetId="6">#REF!</definedName>
    <definedName name="RDRRATEB5">#REF!</definedName>
    <definedName name="RDRRATEB6" localSheetId="6">#REF!</definedName>
    <definedName name="RDRRATEB6">#REF!</definedName>
    <definedName name="RDRRATEB7" localSheetId="6">#REF!</definedName>
    <definedName name="RDRRATEB7">#REF!</definedName>
    <definedName name="RDRRATEB8" localSheetId="6">#REF!</definedName>
    <definedName name="RDRRATEB8">#REF!</definedName>
    <definedName name="RDRRATEB9" localSheetId="6">#REF!</definedName>
    <definedName name="RDRRATEB9">#REF!</definedName>
    <definedName name="RDRRATED" localSheetId="6">#REF!</definedName>
    <definedName name="RDRRATED">#REF!</definedName>
    <definedName name="RDRRATED1" localSheetId="6">#REF!</definedName>
    <definedName name="RDRRATED1">#REF!</definedName>
    <definedName name="RDRRATED10" localSheetId="6">#REF!</definedName>
    <definedName name="RDRRATED10">#REF!</definedName>
    <definedName name="RDRRATED11" localSheetId="6">#REF!</definedName>
    <definedName name="RDRRATED11">#REF!</definedName>
    <definedName name="RDRRATED12" localSheetId="6">#REF!</definedName>
    <definedName name="RDRRATED12">#REF!</definedName>
    <definedName name="RDRRATED13" localSheetId="6">#REF!</definedName>
    <definedName name="RDRRATED13">#REF!</definedName>
    <definedName name="RDRRATED14" localSheetId="6">#REF!</definedName>
    <definedName name="RDRRATED14">#REF!</definedName>
    <definedName name="RDRRATED15" localSheetId="6">#REF!</definedName>
    <definedName name="RDRRATED15">#REF!</definedName>
    <definedName name="RDRRATED16" localSheetId="6">#REF!</definedName>
    <definedName name="RDRRATED16">#REF!</definedName>
    <definedName name="RDRRATED17" localSheetId="6">#REF!</definedName>
    <definedName name="RDRRATED17">#REF!</definedName>
    <definedName name="RDRRATED18" localSheetId="6">#REF!</definedName>
    <definedName name="RDRRATED18">#REF!</definedName>
    <definedName name="RDRRATED19" localSheetId="6">#REF!</definedName>
    <definedName name="RDRRATED19">#REF!</definedName>
    <definedName name="RDRRATED2" localSheetId="6">#REF!</definedName>
    <definedName name="RDRRATED2">#REF!</definedName>
    <definedName name="RDRRATED20" localSheetId="6">#REF!</definedName>
    <definedName name="RDRRATED20">#REF!</definedName>
    <definedName name="RDRRATED3" localSheetId="6">#REF!</definedName>
    <definedName name="RDRRATED3">#REF!</definedName>
    <definedName name="RDRRATED4" localSheetId="6">#REF!</definedName>
    <definedName name="RDRRATED4">#REF!</definedName>
    <definedName name="RDRRATED5" localSheetId="6">#REF!</definedName>
    <definedName name="RDRRATED5">#REF!</definedName>
    <definedName name="RDRRATED6" localSheetId="6">#REF!</definedName>
    <definedName name="RDRRATED6">#REF!</definedName>
    <definedName name="RDRRATED7" localSheetId="6">#REF!</definedName>
    <definedName name="RDRRATED7">#REF!</definedName>
    <definedName name="RDRRATED8" localSheetId="6">#REF!</definedName>
    <definedName name="RDRRATED8">#REF!</definedName>
    <definedName name="RDRRATED9" localSheetId="6">#REF!</definedName>
    <definedName name="RDRRATED9">#REF!</definedName>
    <definedName name="RDRRATEG" localSheetId="6">#REF!</definedName>
    <definedName name="RDRRATEG">#REF!</definedName>
    <definedName name="RDRRATEG1" localSheetId="6">#REF!</definedName>
    <definedName name="RDRRATEG1">#REF!</definedName>
    <definedName name="RDRRATEG10" localSheetId="6">#REF!</definedName>
    <definedName name="RDRRATEG10">#REF!</definedName>
    <definedName name="RDRRATEG11" localSheetId="6">#REF!</definedName>
    <definedName name="RDRRATEG11">#REF!</definedName>
    <definedName name="RDRRATEG12" localSheetId="6">#REF!</definedName>
    <definedName name="RDRRATEG12">#REF!</definedName>
    <definedName name="RDRRATEG13" localSheetId="6">#REF!</definedName>
    <definedName name="RDRRATEG13">#REF!</definedName>
    <definedName name="RDRRATEG14" localSheetId="6">#REF!</definedName>
    <definedName name="RDRRATEG14">#REF!</definedName>
    <definedName name="RDRRATEG15" localSheetId="6">#REF!</definedName>
    <definedName name="RDRRATEG15">#REF!</definedName>
    <definedName name="RDRRATEG16" localSheetId="6">#REF!</definedName>
    <definedName name="RDRRATEG16">#REF!</definedName>
    <definedName name="RDRRATEG17" localSheetId="6">#REF!</definedName>
    <definedName name="RDRRATEG17">#REF!</definedName>
    <definedName name="RDRRATEG18" localSheetId="6">#REF!</definedName>
    <definedName name="RDRRATEG18">#REF!</definedName>
    <definedName name="RDRRATEG19" localSheetId="6">#REF!</definedName>
    <definedName name="RDRRATEG19">#REF!</definedName>
    <definedName name="RDRRATEG2" localSheetId="6">#REF!</definedName>
    <definedName name="RDRRATEG2">#REF!</definedName>
    <definedName name="RDRRATEG20" localSheetId="6">#REF!</definedName>
    <definedName name="RDRRATEG20">#REF!</definedName>
    <definedName name="RDRRATEG3" localSheetId="6">#REF!</definedName>
    <definedName name="RDRRATEG3">#REF!</definedName>
    <definedName name="RDRRATEG4" localSheetId="6">#REF!</definedName>
    <definedName name="RDRRATEG4">#REF!</definedName>
    <definedName name="RDRRATEG5" localSheetId="6">#REF!</definedName>
    <definedName name="RDRRATEG5">#REF!</definedName>
    <definedName name="RDRRATEG6" localSheetId="6">#REF!</definedName>
    <definedName name="RDRRATEG6">#REF!</definedName>
    <definedName name="RDRRATEG7" localSheetId="6">#REF!</definedName>
    <definedName name="RDRRATEG7">#REF!</definedName>
    <definedName name="RDRRATEG8" localSheetId="6">#REF!</definedName>
    <definedName name="RDRRATEG8">#REF!</definedName>
    <definedName name="RDRRATEG9" localSheetId="6">#REF!</definedName>
    <definedName name="RDRRATEG9">#REF!</definedName>
    <definedName name="RDRRATET" localSheetId="6">#REF!</definedName>
    <definedName name="RDRRATET">#REF!</definedName>
    <definedName name="RDRRATET1" localSheetId="6">#REF!</definedName>
    <definedName name="RDRRATET1">#REF!</definedName>
    <definedName name="RDRRATET10" localSheetId="6">#REF!</definedName>
    <definedName name="RDRRATET10">#REF!</definedName>
    <definedName name="RDRRATET11" localSheetId="6">#REF!</definedName>
    <definedName name="RDRRATET11">#REF!</definedName>
    <definedName name="RDRRATET12" localSheetId="6">#REF!</definedName>
    <definedName name="RDRRATET12">#REF!</definedName>
    <definedName name="RDRRATET13" localSheetId="6">#REF!</definedName>
    <definedName name="RDRRATET13">#REF!</definedName>
    <definedName name="RDRRATET14" localSheetId="6">#REF!</definedName>
    <definedName name="RDRRATET14">#REF!</definedName>
    <definedName name="RDRRATET15" localSheetId="6">#REF!</definedName>
    <definedName name="RDRRATET15">#REF!</definedName>
    <definedName name="RDRRATET16" localSheetId="6">#REF!</definedName>
    <definedName name="RDRRATET16">#REF!</definedName>
    <definedName name="RDRRATET17" localSheetId="6">#REF!</definedName>
    <definedName name="RDRRATET17">#REF!</definedName>
    <definedName name="RDRRATET18" localSheetId="6">#REF!</definedName>
    <definedName name="RDRRATET18">#REF!</definedName>
    <definedName name="RDRRATET19" localSheetId="6">#REF!</definedName>
    <definedName name="RDRRATET19">#REF!</definedName>
    <definedName name="RDRRATET2" localSheetId="6">#REF!</definedName>
    <definedName name="RDRRATET2">#REF!</definedName>
    <definedName name="RDRRATET20" localSheetId="6">#REF!</definedName>
    <definedName name="RDRRATET20">#REF!</definedName>
    <definedName name="RDRRATET3" localSheetId="6">#REF!</definedName>
    <definedName name="RDRRATET3">#REF!</definedName>
    <definedName name="RDRRATET4" localSheetId="6">#REF!</definedName>
    <definedName name="RDRRATET4">#REF!</definedName>
    <definedName name="RDRRATET5" localSheetId="6">#REF!</definedName>
    <definedName name="RDRRATET5">#REF!</definedName>
    <definedName name="RDRRATET6" localSheetId="6">#REF!</definedName>
    <definedName name="RDRRATET6">#REF!</definedName>
    <definedName name="RDRRATET7" localSheetId="6">#REF!</definedName>
    <definedName name="RDRRATET7">#REF!</definedName>
    <definedName name="RDRRATET8" localSheetId="6">#REF!</definedName>
    <definedName name="RDRRATET8">#REF!</definedName>
    <definedName name="RDRRATET9" localSheetId="6">#REF!</definedName>
    <definedName name="RDRRATET9">#REF!</definedName>
    <definedName name="RDRTYPE" localSheetId="6">#REF!</definedName>
    <definedName name="RDRTYPE">#REF!</definedName>
    <definedName name="RDRUNITS" localSheetId="6">#REF!</definedName>
    <definedName name="RDRUNITS">#REF!</definedName>
    <definedName name="_xlnm.Recorder" localSheetId="6">#REF!</definedName>
    <definedName name="_xlnm.Recorder">#REF!</definedName>
    <definedName name="Reserved_Section" localSheetId="6">#REF!</definedName>
    <definedName name="Reserved_Section">#REF!</definedName>
    <definedName name="RIDERS" localSheetId="6">#REF!</definedName>
    <definedName name="RIDERS">#REF!</definedName>
    <definedName name="RKVAHRDNG" localSheetId="6">#REF!</definedName>
    <definedName name="RKVAHRDNG">#REF!</definedName>
    <definedName name="RTCHTCNTRCTCPCT" localSheetId="6">#REF!</definedName>
    <definedName name="RTCHTCNTRCTCPCT">#REF!</definedName>
    <definedName name="RTCHTFCTR" localSheetId="6">#REF!</definedName>
    <definedName name="RTCHTFCTR">#REF!</definedName>
    <definedName name="RTCHTFCTR2" localSheetId="6">#REF!</definedName>
    <definedName name="RTCHTFCTR2">#REF!</definedName>
    <definedName name="RTCHTHIPREVKW" localSheetId="6">#REF!</definedName>
    <definedName name="RTCHTHIPREVKW">#REF!</definedName>
    <definedName name="RTP_Detail" localSheetId="6">#REF!</definedName>
    <definedName name="RTP_Detail">#REF!</definedName>
    <definedName name="RTPLRKW" localSheetId="6">#REF!</definedName>
    <definedName name="RTPLRKW">#REF!</definedName>
    <definedName name="SDI" localSheetId="6">#REF!</definedName>
    <definedName name="SDI">#REF!</definedName>
    <definedName name="SHLDRPKKW" localSheetId="6">#REF!</definedName>
    <definedName name="SHLDRPKKW">#REF!</definedName>
    <definedName name="SHLDRPKKWDT" localSheetId="6">#REF!</definedName>
    <definedName name="SHLDRPKKWDT">#REF!</definedName>
    <definedName name="SHLDRPKKWTM" localSheetId="6">#REF!</definedName>
    <definedName name="SHLDRPKKWTM">#REF!</definedName>
    <definedName name="SHRDTRNSKWH" localSheetId="6">#REF!</definedName>
    <definedName name="SHRDTRNSKWH">#REF!</definedName>
    <definedName name="SRPLSKWH" localSheetId="6">#REF!</definedName>
    <definedName name="SRPLSKWH">#REF!</definedName>
    <definedName name="STARTDTM" localSheetId="6">#REF!</definedName>
    <definedName name="STARTDTM">#REF!</definedName>
    <definedName name="State" localSheetId="6">#REF!</definedName>
    <definedName name="State">#REF!</definedName>
    <definedName name="STDKW" localSheetId="6">#REF!</definedName>
    <definedName name="STDKW">#REF!</definedName>
    <definedName name="STDKWDT" localSheetId="6">#REF!</definedName>
    <definedName name="STDKWDT">#REF!</definedName>
    <definedName name="STDKWTM" localSheetId="6">#REF!</definedName>
    <definedName name="STDKWTM">#REF!</definedName>
    <definedName name="STRTTIME" localSheetId="6">#REF!</definedName>
    <definedName name="STRTTIME">#REF!</definedName>
    <definedName name="SWP_Proj_Allocators" localSheetId="6">#REF!</definedName>
    <definedName name="SWP_Proj_Allocators">#REF!</definedName>
    <definedName name="SWPallocatorsH" localSheetId="6">#REF!</definedName>
    <definedName name="SWPallocatorsH">#REF!</definedName>
    <definedName name="SWPallocatorsP" localSheetId="6">#REF!</definedName>
    <definedName name="SWPallocatorsP">#REF!</definedName>
    <definedName name="SYSPKKW" localSheetId="6">#REF!</definedName>
    <definedName name="SYSPKKW">#REF!</definedName>
    <definedName name="SYSPKKWDT" localSheetId="6">#REF!</definedName>
    <definedName name="SYSPKKWDT">#REF!</definedName>
    <definedName name="SYSPKKWTM" localSheetId="6">#REF!</definedName>
    <definedName name="SYSPKKWTM">#REF!</definedName>
    <definedName name="TARIFF1" localSheetId="6">#REF!</definedName>
    <definedName name="TARIFF1">#REF!</definedName>
    <definedName name="TARIFF2" localSheetId="6">#REF!</definedName>
    <definedName name="TARIFF2">#REF!</definedName>
    <definedName name="TariffCode" localSheetId="6">#REF!</definedName>
    <definedName name="TariffCode">#REF!</definedName>
    <definedName name="TariffLongName" localSheetId="6">#REF!</definedName>
    <definedName name="TariffLongName">#REF!</definedName>
    <definedName name="TariffShortName" localSheetId="6">#REF!</definedName>
    <definedName name="TariffShortName">#REF!</definedName>
    <definedName name="TAXDATE" localSheetId="6">#REF!</definedName>
    <definedName name="TAXDATE">#REF!</definedName>
    <definedName name="TAXES" localSheetId="6">#REF!</definedName>
    <definedName name="TAXES">#REF!</definedName>
    <definedName name="TAXNAME" localSheetId="6">#REF!</definedName>
    <definedName name="TAXNAME">#REF!</definedName>
    <definedName name="TAXRATE" localSheetId="6">#REF!</definedName>
    <definedName name="TAXRATE">#REF!</definedName>
    <definedName name="TAXTYPE" localSheetId="6">#REF!</definedName>
    <definedName name="TAXTYPE">#REF!</definedName>
    <definedName name="TCst" localSheetId="6">#REF!</definedName>
    <definedName name="TCst">#REF!</definedName>
    <definedName name="TCst1" localSheetId="6">#REF!</definedName>
    <definedName name="TCst1">#REF!</definedName>
    <definedName name="TIRPCCHG" localSheetId="6">#REF!</definedName>
    <definedName name="TIRPCCHG">#REF!</definedName>
    <definedName name="TIRPDCHG1" localSheetId="6">#REF!</definedName>
    <definedName name="TIRPDCHG1">#REF!</definedName>
    <definedName name="TIRPDCHG2" localSheetId="6">#REF!</definedName>
    <definedName name="TIRPDCHG2">#REF!</definedName>
    <definedName name="TIRPECHG1" localSheetId="6">#REF!</definedName>
    <definedName name="TIRPECHG1">#REF!</definedName>
    <definedName name="TIRPECHGB1" localSheetId="6">#REF!</definedName>
    <definedName name="TIRPECHGB1">#REF!</definedName>
    <definedName name="TIRPECHGB2" localSheetId="6">#REF!</definedName>
    <definedName name="TIRPECHGB2">#REF!</definedName>
    <definedName name="TIRPECHGB3" localSheetId="6">#REF!</definedName>
    <definedName name="TIRPECHGB3">#REF!</definedName>
    <definedName name="TIRPMECHG1" localSheetId="6">#REF!</definedName>
    <definedName name="TIRPMECHG1">#REF!</definedName>
    <definedName name="TIRPMINDC" localSheetId="6">#REF!</definedName>
    <definedName name="TIRPMINDC">#REF!</definedName>
    <definedName name="TIRPMINEC" localSheetId="6">#REF!</definedName>
    <definedName name="TIRPMINEC">#REF!</definedName>
    <definedName name="TIRPOFKVA" localSheetId="6">#REF!</definedName>
    <definedName name="TIRPOFKVA">#REF!</definedName>
    <definedName name="TIRPOFKW" localSheetId="6">#REF!</definedName>
    <definedName name="TIRPOFKW">#REF!</definedName>
    <definedName name="TIRPOFKWH" localSheetId="6">#REF!</definedName>
    <definedName name="TIRPOFKWH">#REF!</definedName>
    <definedName name="TIRPOPKWH" localSheetId="6">#REF!</definedName>
    <definedName name="TIRPOPKWH">#REF!</definedName>
    <definedName name="TIRPP1EC" localSheetId="6">#REF!</definedName>
    <definedName name="TIRPP1EC">#REF!</definedName>
    <definedName name="TIRPP2EC" localSheetId="6">#REF!</definedName>
    <definedName name="TIRPP2EC">#REF!</definedName>
    <definedName name="TIRPP3EC" localSheetId="6">#REF!</definedName>
    <definedName name="TIRPP3EC">#REF!</definedName>
    <definedName name="TIRPP4EC" localSheetId="6">#REF!</definedName>
    <definedName name="TIRPP4EC">#REF!</definedName>
    <definedName name="TIRPP5EC" localSheetId="6">#REF!</definedName>
    <definedName name="TIRPP5EC">#REF!</definedName>
    <definedName name="TIRPRCHG" localSheetId="6">#REF!</definedName>
    <definedName name="TIRPRCHG">#REF!</definedName>
    <definedName name="TLsFctr" localSheetId="6">#REF!</definedName>
    <definedName name="TLsFctr">#REF!</definedName>
    <definedName name="TRCRDKWH" localSheetId="6">#REF!</definedName>
    <definedName name="TRCRDKWH">#REF!</definedName>
    <definedName name="TRCRDKWH2P" localSheetId="6">#REF!</definedName>
    <definedName name="TRCRDKWH2P">#REF!</definedName>
    <definedName name="TRFDATE1" localSheetId="6">#REF!</definedName>
    <definedName name="TRFDATE1">#REF!</definedName>
    <definedName name="TRFDATE2" localSheetId="6">#REF!</definedName>
    <definedName name="TRFDATE2">#REF!</definedName>
    <definedName name="TRFNAME1" localSheetId="6">#REF!</definedName>
    <definedName name="TRFNAME1">#REF!</definedName>
    <definedName name="TRFNAME2" localSheetId="6">#REF!</definedName>
    <definedName name="TRFNAME2">#REF!</definedName>
    <definedName name="TRFSHORTNM1" localSheetId="6">#REF!</definedName>
    <definedName name="TRFSHORTNM1">#REF!</definedName>
    <definedName name="TRFSHORTNM2" localSheetId="6">#REF!</definedName>
    <definedName name="TRFSHORTNM2">#REF!</definedName>
    <definedName name="TrnBlkKwhChg1" localSheetId="6">#REF!</definedName>
    <definedName name="TrnBlkKwhChg1">#REF!</definedName>
    <definedName name="TrnBlkKwhChg2" localSheetId="6">#REF!</definedName>
    <definedName name="TrnBlkKwhChg2">#REF!</definedName>
    <definedName name="TrnBlkKwhChg3" localSheetId="6">#REF!</definedName>
    <definedName name="TrnBlkKwhChg3">#REF!</definedName>
    <definedName name="TrnBlkKwhChgT" localSheetId="6">#REF!</definedName>
    <definedName name="TrnBlkKwhChgT">#REF!</definedName>
    <definedName name="TRNCCHG" localSheetId="6">#REF!</definedName>
    <definedName name="TRNCCHG">#REF!</definedName>
    <definedName name="TrnCustChg" localSheetId="6">#REF!</definedName>
    <definedName name="TrnCustChg">#REF!</definedName>
    <definedName name="TRNDCHG1" localSheetId="6">#REF!</definedName>
    <definedName name="TRNDCHG1">#REF!</definedName>
    <definedName name="TRNDCHG2" localSheetId="6">#REF!</definedName>
    <definedName name="TRNDCHG2">#REF!</definedName>
    <definedName name="TrnDmdChg1" localSheetId="6">#REF!</definedName>
    <definedName name="TrnDmdChg1">#REF!</definedName>
    <definedName name="TrnDmdChg2" localSheetId="6">#REF!</definedName>
    <definedName name="TrnDmdChg2">#REF!</definedName>
    <definedName name="TRNECHG1" localSheetId="6">#REF!</definedName>
    <definedName name="TRNECHG1">#REF!</definedName>
    <definedName name="TRNECHGB1" localSheetId="6">#REF!</definedName>
    <definedName name="TRNECHGB1">#REF!</definedName>
    <definedName name="TRNECHGB2" localSheetId="6">#REF!</definedName>
    <definedName name="TRNECHGB2">#REF!</definedName>
    <definedName name="TRNECHGB3" localSheetId="6">#REF!</definedName>
    <definedName name="TRNECHGB3">#REF!</definedName>
    <definedName name="TrnMEChg" localSheetId="6">#REF!</definedName>
    <definedName name="TrnMEChg">#REF!</definedName>
    <definedName name="TRNMECHG1" localSheetId="6">#REF!</definedName>
    <definedName name="TRNMECHG1">#REF!</definedName>
    <definedName name="TRNMINDC" localSheetId="6">#REF!</definedName>
    <definedName name="TRNMINDC">#REF!</definedName>
    <definedName name="TrnMinDChg" localSheetId="6">#REF!</definedName>
    <definedName name="TrnMinDChg">#REF!</definedName>
    <definedName name="TRNMINEC" localSheetId="6">#REF!</definedName>
    <definedName name="TRNMINEC">#REF!</definedName>
    <definedName name="TrnMinEChg" localSheetId="6">#REF!</definedName>
    <definedName name="TrnMinEChg">#REF!</definedName>
    <definedName name="TrnOffPkKwh" localSheetId="6">#REF!</definedName>
    <definedName name="TrnOffPkKwh">#REF!</definedName>
    <definedName name="TRNOFKWH" localSheetId="6">#REF!</definedName>
    <definedName name="TRNOFKWH">#REF!</definedName>
    <definedName name="TrnOnPkKwh" localSheetId="6">#REF!</definedName>
    <definedName name="TrnOnPkKwh">#REF!</definedName>
    <definedName name="TRNOPKWH" localSheetId="6">#REF!</definedName>
    <definedName name="TRNOPKWH">#REF!</definedName>
    <definedName name="TRNP1EC" localSheetId="6">#REF!</definedName>
    <definedName name="TRNP1EC">#REF!</definedName>
    <definedName name="TRNP2EC" localSheetId="6">#REF!</definedName>
    <definedName name="TRNP2EC">#REF!</definedName>
    <definedName name="TRNP3EC" localSheetId="6">#REF!</definedName>
    <definedName name="TRNP3EC">#REF!</definedName>
    <definedName name="TRNP4EC" localSheetId="6">#REF!</definedName>
    <definedName name="TRNP4EC">#REF!</definedName>
    <definedName name="TRNP5EC" localSheetId="6">#REF!</definedName>
    <definedName name="TRNP5EC">#REF!</definedName>
    <definedName name="TrnPL1Chg" localSheetId="6">#REF!</definedName>
    <definedName name="TrnPL1Chg">#REF!</definedName>
    <definedName name="TrnPL2Chg" localSheetId="6">#REF!</definedName>
    <definedName name="TrnPL2Chg">#REF!</definedName>
    <definedName name="TrnPL3Chg" localSheetId="6">#REF!</definedName>
    <definedName name="TrnPL3Chg">#REF!</definedName>
    <definedName name="TrnPL4Chg" localSheetId="6">#REF!</definedName>
    <definedName name="TrnPL4Chg">#REF!</definedName>
    <definedName name="TrnPL5Chg" localSheetId="6">#REF!</definedName>
    <definedName name="TrnPL5Chg">#REF!</definedName>
    <definedName name="TRNRCHG" localSheetId="6">#REF!</definedName>
    <definedName name="TRNRCHG">#REF!</definedName>
    <definedName name="TrnReactiveChg" localSheetId="6">#REF!</definedName>
    <definedName name="TrnReactiveChg">#REF!</definedName>
    <definedName name="TRNSKWTOFPK" localSheetId="6">#REF!</definedName>
    <definedName name="TRNSKWTOFPK">#REF!</definedName>
    <definedName name="TRNSKWTONPK" localSheetId="6">#REF!</definedName>
    <definedName name="TRNSKWTONPK">#REF!</definedName>
    <definedName name="TRNXOFKVA" localSheetId="6">#REF!</definedName>
    <definedName name="TRNXOFKVA">#REF!</definedName>
    <definedName name="TRNXOFKW" localSheetId="6">#REF!</definedName>
    <definedName name="TRNXOFKW">#REF!</definedName>
    <definedName name="TrnXOfpKvaChg" localSheetId="6">#REF!</definedName>
    <definedName name="TrnXOfpKvaChg">#REF!</definedName>
    <definedName name="TrnXOfpKwChg" localSheetId="6">#REF!</definedName>
    <definedName name="TrnXOfpKwChg">#REF!</definedName>
    <definedName name="TTLBSRATETTL" localSheetId="6">#REF!</definedName>
    <definedName name="TTLBSRATETTL">#REF!</definedName>
    <definedName name="TTLCOGENKWH" localSheetId="6">#REF!</definedName>
    <definedName name="TTLCOGENKWH">#REF!</definedName>
    <definedName name="UNBUNDIND" localSheetId="6">#REF!</definedName>
    <definedName name="UNBUNDIND">#REF!</definedName>
    <definedName name="Z_3768C7C8_9953_11DA_B318_000FB55D51DC_.wvu.PrintArea" localSheetId="7" hidden="1">'WS C  - Working Capital'!$A$10:$N$96</definedName>
    <definedName name="Z_3768C7C8_9953_11DA_B318_000FB55D51DC_.wvu.PrintTitles" localSheetId="7" hidden="1">'WS C  - Working Capital'!#REF!</definedName>
    <definedName name="Z_3768C7C8_9953_11DA_B318_000FB55D51DC_.wvu.Rows" localSheetId="7" hidden="1">'WS C  - Working Capital'!#REF!</definedName>
    <definedName name="Z_3BDD6235_B127_4929_8311_BDAF7BB89818_.wvu.PrintArea" localSheetId="7" hidden="1">'WS C  - Working Capital'!$A$10:$N$96</definedName>
    <definedName name="Z_3BDD6235_B127_4929_8311_BDAF7BB89818_.wvu.PrintTitles" localSheetId="7" hidden="1">'WS C  - Working Capital'!#REF!</definedName>
    <definedName name="Z_3BDD6235_B127_4929_8311_BDAF7BB89818_.wvu.Rows" localSheetId="7" hidden="1">'WS C  - Working Capital'!#REF!</definedName>
    <definedName name="Z_B0241363_5C8A_48FC_89A6_56D55586BABE_.wvu.PrintArea" localSheetId="7" hidden="1">'WS C  - Working Capital'!$A$10:$N$96</definedName>
    <definedName name="Z_B0241363_5C8A_48FC_89A6_56D55586BABE_.wvu.PrintTitles" localSheetId="7" hidden="1">'WS C  - Working Capital'!#REF!</definedName>
    <definedName name="Z_B0241363_5C8A_48FC_89A6_56D55586BABE_.wvu.Rows" localSheetId="7" hidden="1">'WS C  - Working Capital'!#REF!</definedName>
    <definedName name="Z_C0EA0F9F_7310_4201_82C9_7B8FC8DB9137_.wvu.PrintArea" localSheetId="7" hidden="1">'WS C  - Working Capital'!$A$10:$N$96</definedName>
    <definedName name="Z_C0EA0F9F_7310_4201_82C9_7B8FC8DB9137_.wvu.PrintTitles" localSheetId="7" hidden="1">'WS C  - Working Capital'!#REF!</definedName>
    <definedName name="Z_C0EA0F9F_7310_4201_82C9_7B8FC8DB9137_.wvu.Rows" localSheetId="7" hidden="1">'WS C  - Working Capital'!#REF!</definedName>
    <definedName name="Z_C5140E12_E05E_4473_9142_42F37320A417_.wvu.Cols" localSheetId="13" hidden="1">'WS H-1-Detail of Tax Amts'!#REF!</definedName>
    <definedName name="Z_C5140E12_E05E_4473_9142_42F37320A417_.wvu.PrintArea" localSheetId="13" hidden="1">'WS H-1-Detail of Tax Amts'!$A$3:$F$124</definedName>
    <definedName name="Z_C5140E12_E05E_4473_9142_42F37320A417_.wvu.PrintArea" localSheetId="15" hidden="1">'WS J PROJECTED RTEP RR'!$A$3:$O$81</definedName>
    <definedName name="Z_C5140E12_E05E_4473_9142_42F37320A417_.wvu.PrintTitles" localSheetId="13" hidden="1">'WS H-1-Detail of Tax Amts'!$3:$7</definedName>
    <definedName name="Zip" localSheetId="22">#REF!</definedName>
    <definedName name="Zip" localSheetId="6">#REF!</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6" i="39" l="1"/>
  <c r="C106" i="39"/>
  <c r="D105" i="39"/>
  <c r="C105" i="39"/>
  <c r="P57" i="51" l="1"/>
  <c r="P32" i="51"/>
  <c r="G179" i="2" l="1"/>
  <c r="G148" i="2" l="1"/>
  <c r="P51" i="51" l="1"/>
  <c r="P50" i="51"/>
  <c r="P49" i="51"/>
  <c r="P48" i="51"/>
  <c r="Q47" i="51"/>
  <c r="P26" i="51"/>
  <c r="P25" i="51"/>
  <c r="P24" i="51"/>
  <c r="P23" i="51"/>
  <c r="Q22" i="51"/>
  <c r="D151" i="38" l="1"/>
  <c r="D150" i="38"/>
  <c r="K149" i="38"/>
  <c r="K89" i="38"/>
  <c r="J89" i="38"/>
  <c r="I89" i="38"/>
  <c r="C89" i="38"/>
  <c r="J151" i="38"/>
  <c r="I151" i="38"/>
  <c r="C151" i="38"/>
  <c r="J150" i="38"/>
  <c r="I150" i="38"/>
  <c r="C150" i="38"/>
  <c r="J149" i="38"/>
  <c r="I149" i="38"/>
  <c r="C149" i="38"/>
  <c r="D153" i="38"/>
  <c r="I152" i="38"/>
  <c r="K153" i="38"/>
  <c r="J153" i="38"/>
  <c r="C153" i="38"/>
  <c r="K152" i="38"/>
  <c r="J152" i="38"/>
  <c r="C152" i="38"/>
  <c r="D53" i="38"/>
  <c r="D50" i="38"/>
  <c r="J53" i="38"/>
  <c r="I53" i="38"/>
  <c r="C53" i="38"/>
  <c r="J50" i="38"/>
  <c r="I50" i="38"/>
  <c r="C50" i="38"/>
  <c r="J52" i="38"/>
  <c r="D49" i="38"/>
  <c r="K52" i="38"/>
  <c r="I52" i="38"/>
  <c r="C52" i="38"/>
  <c r="K49" i="38"/>
  <c r="I49" i="38"/>
  <c r="C49" i="38"/>
  <c r="K57" i="38"/>
  <c r="J57" i="38"/>
  <c r="C57" i="38"/>
  <c r="K56" i="38"/>
  <c r="J56" i="38"/>
  <c r="C56" i="38"/>
  <c r="I57" i="38"/>
  <c r="I56" i="38"/>
  <c r="I54" i="38"/>
  <c r="K54" i="38"/>
  <c r="J54" i="38"/>
  <c r="K51" i="38"/>
  <c r="J51" i="38"/>
  <c r="C54" i="38"/>
  <c r="C51" i="38"/>
  <c r="K151" i="38" l="1"/>
  <c r="K150" i="38"/>
  <c r="D149" i="38"/>
  <c r="G149" i="38" s="1"/>
  <c r="D89" i="38"/>
  <c r="G89" i="38" s="1"/>
  <c r="G150" i="38"/>
  <c r="G151" i="38"/>
  <c r="I153" i="38"/>
  <c r="D152" i="38"/>
  <c r="G152" i="38" s="1"/>
  <c r="G153" i="38"/>
  <c r="K53" i="38"/>
  <c r="K50" i="38"/>
  <c r="G53" i="38"/>
  <c r="G50" i="38"/>
  <c r="J49" i="38"/>
  <c r="D52" i="38"/>
  <c r="G52" i="38" s="1"/>
  <c r="G49" i="38"/>
  <c r="D51" i="38"/>
  <c r="G51" i="38" s="1"/>
  <c r="D56" i="38"/>
  <c r="G56" i="38" s="1"/>
  <c r="D57" i="38"/>
  <c r="G57" i="38" s="1"/>
  <c r="I51" i="38"/>
  <c r="D54" i="38"/>
  <c r="G54" i="38" s="1"/>
  <c r="L70" i="39" l="1"/>
  <c r="L69" i="39"/>
  <c r="L66" i="39"/>
  <c r="M66" i="39"/>
  <c r="K66" i="39"/>
  <c r="J66" i="39"/>
  <c r="I66" i="39"/>
  <c r="C66" i="39"/>
  <c r="K70" i="39"/>
  <c r="K69" i="39"/>
  <c r="D19" i="39"/>
  <c r="D18" i="39"/>
  <c r="M18" i="39"/>
  <c r="L18" i="39"/>
  <c r="J18" i="39"/>
  <c r="I18" i="39"/>
  <c r="C18" i="39"/>
  <c r="J70" i="39"/>
  <c r="J69" i="39"/>
  <c r="I70" i="39"/>
  <c r="I69" i="39"/>
  <c r="M70" i="39"/>
  <c r="C70" i="39"/>
  <c r="M69" i="39"/>
  <c r="C69" i="39"/>
  <c r="I36" i="39"/>
  <c r="M36" i="39"/>
  <c r="L36" i="39"/>
  <c r="K36" i="39"/>
  <c r="J36" i="39"/>
  <c r="C36" i="39"/>
  <c r="M19" i="39"/>
  <c r="L19" i="39"/>
  <c r="J19" i="39"/>
  <c r="I19" i="39"/>
  <c r="C19" i="39"/>
  <c r="D66" i="39" l="1"/>
  <c r="G66" i="39" s="1"/>
  <c r="K18" i="39"/>
  <c r="K19" i="39"/>
  <c r="G18" i="39"/>
  <c r="D69" i="39"/>
  <c r="G69" i="39" s="1"/>
  <c r="D70" i="39"/>
  <c r="G70" i="39" s="1"/>
  <c r="D36" i="39"/>
  <c r="G36" i="39" s="1"/>
  <c r="G19" i="39"/>
  <c r="F23" i="10" l="1"/>
  <c r="K93" i="6" l="1"/>
  <c r="E93" i="6" s="1"/>
  <c r="K92" i="6"/>
  <c r="E92" i="6" s="1"/>
  <c r="K91" i="6"/>
  <c r="E91" i="6" s="1"/>
  <c r="K90" i="6"/>
  <c r="E90" i="6" s="1"/>
  <c r="J89" i="6"/>
  <c r="K89" i="6" s="1"/>
  <c r="E89" i="6" s="1"/>
  <c r="K88" i="6"/>
  <c r="E88" i="6" s="1"/>
  <c r="K87" i="6"/>
  <c r="E87" i="6" s="1"/>
  <c r="K86" i="6"/>
  <c r="E86" i="6" s="1"/>
  <c r="K85" i="6"/>
  <c r="E85" i="6" s="1"/>
  <c r="K84" i="6"/>
  <c r="E84" i="6" s="1"/>
  <c r="I83" i="6"/>
  <c r="K83" i="6" s="1"/>
  <c r="E83" i="6" s="1"/>
  <c r="K82" i="6"/>
  <c r="E82" i="6" s="1"/>
  <c r="K81" i="6"/>
  <c r="E81" i="6" s="1"/>
  <c r="K80" i="6"/>
  <c r="E80" i="6" s="1"/>
  <c r="K79" i="6"/>
  <c r="E79" i="6" s="1"/>
  <c r="J78" i="6"/>
  <c r="K78" i="6" s="1"/>
  <c r="E78" i="6" s="1"/>
  <c r="K77" i="6"/>
  <c r="E77" i="6" s="1"/>
  <c r="K76" i="6"/>
  <c r="E76" i="6" s="1"/>
  <c r="K75" i="6"/>
  <c r="E75" i="6" s="1"/>
  <c r="K74" i="6"/>
  <c r="E74" i="6" s="1"/>
  <c r="K73" i="6"/>
  <c r="E73" i="6" s="1"/>
  <c r="K72" i="6"/>
  <c r="E72" i="6" s="1"/>
  <c r="I71" i="6"/>
  <c r="K71" i="6" s="1"/>
  <c r="E71" i="6" s="1"/>
  <c r="D98" i="39"/>
  <c r="C98" i="39"/>
  <c r="D63" i="38"/>
  <c r="C63" i="38"/>
  <c r="F110" i="39" l="1"/>
  <c r="E110" i="39"/>
  <c r="S110" i="39"/>
  <c r="R110" i="39"/>
  <c r="Q110" i="39"/>
  <c r="P110" i="39"/>
  <c r="O110" i="39"/>
  <c r="A17" i="39"/>
  <c r="E174" i="38"/>
  <c r="F174" i="38"/>
  <c r="Q174" i="38"/>
  <c r="P174" i="38"/>
  <c r="O174" i="38"/>
  <c r="N174" i="38"/>
  <c r="M174" i="38"/>
  <c r="A73" i="38"/>
  <c r="F69" i="38"/>
  <c r="E69" i="38"/>
  <c r="Q69" i="38"/>
  <c r="P69" i="38"/>
  <c r="O69" i="38"/>
  <c r="N69" i="38"/>
  <c r="M69" i="38"/>
  <c r="A28" i="38"/>
  <c r="A18" i="39" l="1"/>
  <c r="A19" i="39" s="1"/>
  <c r="A20" i="39" s="1"/>
  <c r="A21" i="39" s="1"/>
  <c r="A22" i="39" s="1"/>
  <c r="A23" i="39" s="1"/>
  <c r="A24" i="39" s="1"/>
  <c r="A25" i="39" s="1"/>
  <c r="A26" i="39" s="1"/>
  <c r="A27" i="39" s="1"/>
  <c r="H252" i="2"/>
  <c r="E99" i="2"/>
  <c r="I19" i="6"/>
  <c r="G120" i="2" s="1"/>
  <c r="H62" i="35"/>
  <c r="G62" i="35"/>
  <c r="L243" i="2" s="1"/>
  <c r="M42" i="35"/>
  <c r="G90" i="2" s="1"/>
  <c r="L42" i="35"/>
  <c r="G89" i="2" s="1"/>
  <c r="M23" i="35"/>
  <c r="G76" i="2" s="1"/>
  <c r="L23" i="35"/>
  <c r="G75" i="2" s="1"/>
  <c r="L242" i="2" s="1"/>
  <c r="G99" i="2" l="1"/>
  <c r="L244" i="2"/>
  <c r="L246" i="2" s="1"/>
  <c r="J76" i="2" l="1"/>
  <c r="L76" i="2" s="1"/>
  <c r="J184" i="2"/>
  <c r="L184" i="2" s="1"/>
  <c r="J252" i="2"/>
  <c r="L252" i="2" s="1"/>
  <c r="J89" i="2"/>
  <c r="L89" i="2" s="1"/>
  <c r="J75" i="2"/>
  <c r="L75" i="2" s="1"/>
  <c r="J166" i="2"/>
  <c r="L166" i="2" s="1"/>
  <c r="J120" i="2"/>
  <c r="L120" i="2" s="1"/>
  <c r="J90" i="2"/>
  <c r="L90" i="2" s="1"/>
  <c r="L99" i="2" l="1"/>
  <c r="E64" i="41" l="1"/>
  <c r="E65" i="41"/>
  <c r="G185" i="2" l="1"/>
  <c r="M107" i="39" l="1"/>
  <c r="L107" i="39"/>
  <c r="K107" i="39"/>
  <c r="J107" i="39"/>
  <c r="I107" i="39"/>
  <c r="D107" i="39"/>
  <c r="C107" i="39"/>
  <c r="G107" i="39" l="1"/>
  <c r="Y110" i="39" l="1"/>
  <c r="X110" i="39"/>
  <c r="W110" i="39"/>
  <c r="V110" i="39"/>
  <c r="U110" i="39"/>
  <c r="T174" i="38" l="1"/>
  <c r="U174" i="38"/>
  <c r="V174" i="38"/>
  <c r="W174" i="38"/>
  <c r="S174" i="38"/>
  <c r="C73" i="38"/>
  <c r="D73" i="38"/>
  <c r="I73" i="38"/>
  <c r="J73" i="38"/>
  <c r="K73" i="38"/>
  <c r="C74" i="38"/>
  <c r="D74" i="38"/>
  <c r="I74" i="38"/>
  <c r="J74" i="38"/>
  <c r="K74" i="38"/>
  <c r="C75" i="38"/>
  <c r="D75" i="38"/>
  <c r="I75" i="38"/>
  <c r="J75" i="38"/>
  <c r="K75" i="38"/>
  <c r="C76" i="38"/>
  <c r="D76" i="38"/>
  <c r="I76" i="38"/>
  <c r="J76" i="38"/>
  <c r="K76" i="38"/>
  <c r="C77" i="38"/>
  <c r="D77" i="38"/>
  <c r="I77" i="38"/>
  <c r="J77" i="38"/>
  <c r="K77" i="38"/>
  <c r="C78" i="38"/>
  <c r="D78" i="38"/>
  <c r="I78" i="38"/>
  <c r="J78" i="38"/>
  <c r="K78" i="38"/>
  <c r="C79" i="38"/>
  <c r="D79" i="38"/>
  <c r="I79" i="38"/>
  <c r="J79" i="38"/>
  <c r="K79" i="38"/>
  <c r="C80" i="38"/>
  <c r="D80" i="38"/>
  <c r="I80" i="38"/>
  <c r="J80" i="38"/>
  <c r="K80" i="38"/>
  <c r="C81" i="38"/>
  <c r="D81" i="38"/>
  <c r="I81" i="38"/>
  <c r="J81" i="38"/>
  <c r="K81" i="38"/>
  <c r="C82" i="38"/>
  <c r="D82" i="38"/>
  <c r="I82" i="38"/>
  <c r="J82" i="38"/>
  <c r="K82" i="38"/>
  <c r="C83" i="38"/>
  <c r="D83" i="38"/>
  <c r="I83" i="38"/>
  <c r="J83" i="38"/>
  <c r="K83" i="38"/>
  <c r="C84" i="38"/>
  <c r="D84" i="38"/>
  <c r="I84" i="38"/>
  <c r="J84" i="38"/>
  <c r="K84" i="38"/>
  <c r="C85" i="38"/>
  <c r="D85" i="38"/>
  <c r="I85" i="38"/>
  <c r="J85" i="38"/>
  <c r="K85" i="38"/>
  <c r="C86" i="38"/>
  <c r="D86" i="38"/>
  <c r="I86" i="38"/>
  <c r="J86" i="38"/>
  <c r="K86" i="38"/>
  <c r="C87" i="38"/>
  <c r="D87" i="38"/>
  <c r="I87" i="38"/>
  <c r="J87" i="38"/>
  <c r="K87" i="38"/>
  <c r="C88" i="38"/>
  <c r="D88" i="38"/>
  <c r="I88" i="38"/>
  <c r="J88" i="38"/>
  <c r="K88" i="38"/>
  <c r="C90" i="38"/>
  <c r="D90" i="38"/>
  <c r="I90" i="38"/>
  <c r="J90" i="38"/>
  <c r="K90" i="38"/>
  <c r="C91" i="38"/>
  <c r="D91" i="38"/>
  <c r="I91" i="38"/>
  <c r="J91" i="38"/>
  <c r="K91" i="38"/>
  <c r="C92" i="38"/>
  <c r="D92" i="38"/>
  <c r="I92" i="38"/>
  <c r="J92" i="38"/>
  <c r="K92" i="38"/>
  <c r="C93" i="38"/>
  <c r="D93" i="38"/>
  <c r="I93" i="38"/>
  <c r="J93" i="38"/>
  <c r="K93" i="38"/>
  <c r="C94" i="38"/>
  <c r="D94" i="38"/>
  <c r="I94" i="38"/>
  <c r="J94" i="38"/>
  <c r="K94" i="38"/>
  <c r="C95" i="38"/>
  <c r="D95" i="38"/>
  <c r="I95" i="38"/>
  <c r="J95" i="38"/>
  <c r="K95" i="38"/>
  <c r="C96" i="38"/>
  <c r="D96" i="38"/>
  <c r="I96" i="38"/>
  <c r="J96" i="38"/>
  <c r="K96" i="38"/>
  <c r="C97" i="38"/>
  <c r="D97" i="38"/>
  <c r="I97" i="38"/>
  <c r="J97" i="38"/>
  <c r="K97" i="38"/>
  <c r="C98" i="38"/>
  <c r="D98" i="38"/>
  <c r="I98" i="38"/>
  <c r="J98" i="38"/>
  <c r="K98" i="38"/>
  <c r="C99" i="38"/>
  <c r="D99" i="38"/>
  <c r="I99" i="38"/>
  <c r="J99" i="38"/>
  <c r="K99" i="38"/>
  <c r="C100" i="38"/>
  <c r="D100" i="38"/>
  <c r="I100" i="38"/>
  <c r="J100" i="38"/>
  <c r="K100" i="38"/>
  <c r="C101" i="38"/>
  <c r="D101" i="38"/>
  <c r="I101" i="38"/>
  <c r="J101" i="38"/>
  <c r="K101" i="38"/>
  <c r="C102" i="38"/>
  <c r="D102" i="38"/>
  <c r="I102" i="38"/>
  <c r="J102" i="38"/>
  <c r="K102" i="38"/>
  <c r="C103" i="38"/>
  <c r="D103" i="38"/>
  <c r="I103" i="38"/>
  <c r="J103" i="38"/>
  <c r="K103" i="38"/>
  <c r="C104" i="38"/>
  <c r="D104" i="38"/>
  <c r="I104" i="38"/>
  <c r="J104" i="38"/>
  <c r="K104" i="38"/>
  <c r="C105" i="38"/>
  <c r="D105" i="38"/>
  <c r="I105" i="38"/>
  <c r="J105" i="38"/>
  <c r="K105" i="38"/>
  <c r="C106" i="38"/>
  <c r="D106" i="38"/>
  <c r="I106" i="38"/>
  <c r="J106" i="38"/>
  <c r="K106" i="38"/>
  <c r="C107" i="38"/>
  <c r="D107" i="38"/>
  <c r="I107" i="38"/>
  <c r="J107" i="38"/>
  <c r="K107" i="38"/>
  <c r="C108" i="38"/>
  <c r="D108" i="38"/>
  <c r="I108" i="38"/>
  <c r="J108" i="38"/>
  <c r="K108" i="38"/>
  <c r="C109" i="38"/>
  <c r="D109" i="38"/>
  <c r="I109" i="38"/>
  <c r="J109" i="38"/>
  <c r="K109" i="38"/>
  <c r="C110" i="38"/>
  <c r="D110" i="38"/>
  <c r="I110" i="38"/>
  <c r="J110" i="38"/>
  <c r="K110" i="38"/>
  <c r="C111" i="38"/>
  <c r="D111" i="38"/>
  <c r="I111" i="38"/>
  <c r="J111" i="38"/>
  <c r="K111" i="38"/>
  <c r="C112" i="38"/>
  <c r="D112" i="38"/>
  <c r="I112" i="38"/>
  <c r="J112" i="38"/>
  <c r="K112" i="38"/>
  <c r="C113" i="38"/>
  <c r="D113" i="38"/>
  <c r="I113" i="38"/>
  <c r="J113" i="38"/>
  <c r="K113" i="38"/>
  <c r="C114" i="38"/>
  <c r="D114" i="38"/>
  <c r="I114" i="38"/>
  <c r="J114" i="38"/>
  <c r="K114" i="38"/>
  <c r="C115" i="38"/>
  <c r="D115" i="38"/>
  <c r="I115" i="38"/>
  <c r="J115" i="38"/>
  <c r="K115" i="38"/>
  <c r="C116" i="38"/>
  <c r="D116" i="38"/>
  <c r="I116" i="38"/>
  <c r="J116" i="38"/>
  <c r="K116" i="38"/>
  <c r="C117" i="38"/>
  <c r="D117" i="38"/>
  <c r="I117" i="38"/>
  <c r="J117" i="38"/>
  <c r="K117" i="38"/>
  <c r="C118" i="38"/>
  <c r="D118" i="38"/>
  <c r="I118" i="38"/>
  <c r="J118" i="38"/>
  <c r="K118" i="38"/>
  <c r="C119" i="38"/>
  <c r="D119" i="38"/>
  <c r="I119" i="38"/>
  <c r="J119" i="38"/>
  <c r="K119" i="38"/>
  <c r="C120" i="38"/>
  <c r="D120" i="38"/>
  <c r="I120" i="38"/>
  <c r="J120" i="38"/>
  <c r="K120" i="38"/>
  <c r="C121" i="38"/>
  <c r="D121" i="38"/>
  <c r="I121" i="38"/>
  <c r="J121" i="38"/>
  <c r="K121" i="38"/>
  <c r="C122" i="38"/>
  <c r="D122" i="38"/>
  <c r="I122" i="38"/>
  <c r="J122" i="38"/>
  <c r="K122" i="38"/>
  <c r="C123" i="38"/>
  <c r="D123" i="38"/>
  <c r="I123" i="38"/>
  <c r="J123" i="38"/>
  <c r="K123" i="38"/>
  <c r="C124" i="38"/>
  <c r="D124" i="38"/>
  <c r="I124" i="38"/>
  <c r="J124" i="38"/>
  <c r="K124" i="38"/>
  <c r="C125" i="38"/>
  <c r="D125" i="38"/>
  <c r="I125" i="38"/>
  <c r="J125" i="38"/>
  <c r="K125" i="38"/>
  <c r="C126" i="38"/>
  <c r="D126" i="38"/>
  <c r="I126" i="38"/>
  <c r="J126" i="38"/>
  <c r="K126" i="38"/>
  <c r="C127" i="38"/>
  <c r="D127" i="38"/>
  <c r="I127" i="38"/>
  <c r="J127" i="38"/>
  <c r="K127" i="38"/>
  <c r="C128" i="38"/>
  <c r="D128" i="38"/>
  <c r="I128" i="38"/>
  <c r="J128" i="38"/>
  <c r="K128" i="38"/>
  <c r="C129" i="38"/>
  <c r="D129" i="38"/>
  <c r="I129" i="38"/>
  <c r="J129" i="38"/>
  <c r="K129" i="38"/>
  <c r="C130" i="38"/>
  <c r="D130" i="38"/>
  <c r="I130" i="38"/>
  <c r="J130" i="38"/>
  <c r="K130" i="38"/>
  <c r="C131" i="38"/>
  <c r="D131" i="38"/>
  <c r="I131" i="38"/>
  <c r="J131" i="38"/>
  <c r="K131" i="38"/>
  <c r="C132" i="38"/>
  <c r="D132" i="38"/>
  <c r="I132" i="38"/>
  <c r="J132" i="38"/>
  <c r="K132" i="38"/>
  <c r="C133" i="38"/>
  <c r="D133" i="38"/>
  <c r="I133" i="38"/>
  <c r="J133" i="38"/>
  <c r="K133" i="38"/>
  <c r="C134" i="38"/>
  <c r="D134" i="38"/>
  <c r="I134" i="38"/>
  <c r="J134" i="38"/>
  <c r="K134" i="38"/>
  <c r="C135" i="38"/>
  <c r="D135" i="38"/>
  <c r="I135" i="38"/>
  <c r="J135" i="38"/>
  <c r="K135" i="38"/>
  <c r="C136" i="38"/>
  <c r="D136" i="38"/>
  <c r="I136" i="38"/>
  <c r="J136" i="38"/>
  <c r="K136" i="38"/>
  <c r="C137" i="38"/>
  <c r="D137" i="38"/>
  <c r="I137" i="38"/>
  <c r="J137" i="38"/>
  <c r="K137" i="38"/>
  <c r="C138" i="38"/>
  <c r="D138" i="38"/>
  <c r="I138" i="38"/>
  <c r="J138" i="38"/>
  <c r="K138" i="38"/>
  <c r="C139" i="38"/>
  <c r="D139" i="38"/>
  <c r="I139" i="38"/>
  <c r="J139" i="38"/>
  <c r="K139" i="38"/>
  <c r="C140" i="38"/>
  <c r="D140" i="38"/>
  <c r="I140" i="38"/>
  <c r="J140" i="38"/>
  <c r="K140" i="38"/>
  <c r="C141" i="38"/>
  <c r="D141" i="38"/>
  <c r="I141" i="38"/>
  <c r="J141" i="38"/>
  <c r="K141" i="38"/>
  <c r="C142" i="38"/>
  <c r="D142" i="38"/>
  <c r="I142" i="38"/>
  <c r="J142" i="38"/>
  <c r="K142" i="38"/>
  <c r="C143" i="38"/>
  <c r="D143" i="38"/>
  <c r="I143" i="38"/>
  <c r="J143" i="38"/>
  <c r="K143" i="38"/>
  <c r="C144" i="38"/>
  <c r="D144" i="38"/>
  <c r="I144" i="38"/>
  <c r="J144" i="38"/>
  <c r="K144" i="38"/>
  <c r="C145" i="38"/>
  <c r="D145" i="38"/>
  <c r="I145" i="38"/>
  <c r="J145" i="38"/>
  <c r="K145" i="38"/>
  <c r="C146" i="38"/>
  <c r="D146" i="38"/>
  <c r="I146" i="38"/>
  <c r="J146" i="38"/>
  <c r="K146" i="38"/>
  <c r="C147" i="38"/>
  <c r="D147" i="38"/>
  <c r="I147" i="38"/>
  <c r="J147" i="38"/>
  <c r="K147" i="38"/>
  <c r="C148" i="38"/>
  <c r="D148" i="38"/>
  <c r="I148" i="38"/>
  <c r="J148" i="38"/>
  <c r="K148" i="38"/>
  <c r="C154" i="38"/>
  <c r="D154" i="38"/>
  <c r="I154" i="38"/>
  <c r="J154" i="38"/>
  <c r="K154" i="38"/>
  <c r="C155" i="38"/>
  <c r="D155" i="38"/>
  <c r="I155" i="38"/>
  <c r="J155" i="38"/>
  <c r="K155" i="38"/>
  <c r="T69" i="38"/>
  <c r="U69" i="38"/>
  <c r="V69" i="38"/>
  <c r="W69" i="38"/>
  <c r="S69" i="38"/>
  <c r="C28" i="38"/>
  <c r="D28" i="38"/>
  <c r="I28" i="38"/>
  <c r="J28" i="38"/>
  <c r="K28" i="38"/>
  <c r="C29" i="38"/>
  <c r="D29" i="38"/>
  <c r="I29" i="38"/>
  <c r="J29" i="38"/>
  <c r="K29" i="38"/>
  <c r="C30" i="38"/>
  <c r="D30" i="38"/>
  <c r="I30" i="38"/>
  <c r="J30" i="38"/>
  <c r="K30" i="38"/>
  <c r="C31" i="38"/>
  <c r="D31" i="38"/>
  <c r="I31" i="38"/>
  <c r="J31" i="38"/>
  <c r="K31" i="38"/>
  <c r="C32" i="38"/>
  <c r="D32" i="38"/>
  <c r="I32" i="38"/>
  <c r="J32" i="38"/>
  <c r="K32" i="38"/>
  <c r="C33" i="38"/>
  <c r="C69" i="38" s="1"/>
  <c r="D33" i="38"/>
  <c r="D69" i="38" s="1"/>
  <c r="I33" i="38"/>
  <c r="I69" i="38" s="1"/>
  <c r="J33" i="38"/>
  <c r="J69" i="38" s="1"/>
  <c r="K33" i="38"/>
  <c r="K69" i="38" s="1"/>
  <c r="C34" i="38"/>
  <c r="D34" i="38"/>
  <c r="I34" i="38"/>
  <c r="J34" i="38"/>
  <c r="K34" i="38"/>
  <c r="C35" i="38"/>
  <c r="D35" i="38"/>
  <c r="I35" i="38"/>
  <c r="J35" i="38"/>
  <c r="K35" i="38"/>
  <c r="C36" i="38"/>
  <c r="D36" i="38"/>
  <c r="I36" i="38"/>
  <c r="J36" i="38"/>
  <c r="K36" i="38"/>
  <c r="C37" i="38"/>
  <c r="D37" i="38"/>
  <c r="I37" i="38"/>
  <c r="J37" i="38"/>
  <c r="K37" i="38"/>
  <c r="C38" i="38"/>
  <c r="D38" i="38"/>
  <c r="I38" i="38"/>
  <c r="J38" i="38"/>
  <c r="K38" i="38"/>
  <c r="C39" i="38"/>
  <c r="D39" i="38"/>
  <c r="I39" i="38"/>
  <c r="J39" i="38"/>
  <c r="K39" i="38"/>
  <c r="C40" i="38"/>
  <c r="D40" i="38"/>
  <c r="I40" i="38"/>
  <c r="J40" i="38"/>
  <c r="K40" i="38"/>
  <c r="C41" i="38"/>
  <c r="D41" i="38"/>
  <c r="I41" i="38"/>
  <c r="J41" i="38"/>
  <c r="K41" i="38"/>
  <c r="C42" i="38"/>
  <c r="D42" i="38"/>
  <c r="I42" i="38"/>
  <c r="J42" i="38"/>
  <c r="K42" i="38"/>
  <c r="C43" i="38"/>
  <c r="D43" i="38"/>
  <c r="I43" i="38"/>
  <c r="J43" i="38"/>
  <c r="K43" i="38"/>
  <c r="C44" i="38"/>
  <c r="D44" i="38"/>
  <c r="I44" i="38"/>
  <c r="J44" i="38"/>
  <c r="K44" i="38"/>
  <c r="C45" i="38"/>
  <c r="D45" i="38"/>
  <c r="I45" i="38"/>
  <c r="J45" i="38"/>
  <c r="K45" i="38"/>
  <c r="C46" i="38"/>
  <c r="D46" i="38"/>
  <c r="I46" i="38"/>
  <c r="J46" i="38"/>
  <c r="K46" i="38"/>
  <c r="C47" i="38"/>
  <c r="D47" i="38"/>
  <c r="I47" i="38"/>
  <c r="J47" i="38"/>
  <c r="K47" i="38"/>
  <c r="C48" i="38"/>
  <c r="D48" i="38"/>
  <c r="I48" i="38"/>
  <c r="J48" i="38"/>
  <c r="K48" i="38"/>
  <c r="C55" i="38"/>
  <c r="D55" i="38"/>
  <c r="I55" i="38"/>
  <c r="J55" i="38"/>
  <c r="K55" i="38"/>
  <c r="C58" i="38"/>
  <c r="D58" i="38"/>
  <c r="I58" i="38"/>
  <c r="J58" i="38"/>
  <c r="K58" i="38"/>
  <c r="D104" i="39"/>
  <c r="C104" i="39"/>
  <c r="C17" i="39"/>
  <c r="D17" i="39"/>
  <c r="I17" i="39"/>
  <c r="J17" i="39"/>
  <c r="K17" i="39"/>
  <c r="L17" i="39"/>
  <c r="M17" i="39"/>
  <c r="C20" i="39"/>
  <c r="D20" i="39"/>
  <c r="I20" i="39"/>
  <c r="J20" i="39"/>
  <c r="K20" i="39"/>
  <c r="L20" i="39"/>
  <c r="M20" i="39"/>
  <c r="C21" i="39"/>
  <c r="D21" i="39"/>
  <c r="I21" i="39"/>
  <c r="J21" i="39"/>
  <c r="K21" i="39"/>
  <c r="L21" i="39"/>
  <c r="M21" i="39"/>
  <c r="C22" i="39"/>
  <c r="D22" i="39"/>
  <c r="I22" i="39"/>
  <c r="J22" i="39"/>
  <c r="K22" i="39"/>
  <c r="L22" i="39"/>
  <c r="M22" i="39"/>
  <c r="C23" i="39"/>
  <c r="D23" i="39"/>
  <c r="I23" i="39"/>
  <c r="J23" i="39"/>
  <c r="K23" i="39"/>
  <c r="L23" i="39"/>
  <c r="M23" i="39"/>
  <c r="C24" i="39"/>
  <c r="D24" i="39"/>
  <c r="I24" i="39"/>
  <c r="J24" i="39"/>
  <c r="K24" i="39"/>
  <c r="L24" i="39"/>
  <c r="M24" i="39"/>
  <c r="C25" i="39"/>
  <c r="D25" i="39"/>
  <c r="I25" i="39"/>
  <c r="J25" i="39"/>
  <c r="K25" i="39"/>
  <c r="L25" i="39"/>
  <c r="M25" i="39"/>
  <c r="C26" i="39"/>
  <c r="D26" i="39"/>
  <c r="I26" i="39"/>
  <c r="J26" i="39"/>
  <c r="K26" i="39"/>
  <c r="L26" i="39"/>
  <c r="M26" i="39"/>
  <c r="C27" i="39"/>
  <c r="D27" i="39"/>
  <c r="I27" i="39"/>
  <c r="J27" i="39"/>
  <c r="K27" i="39"/>
  <c r="L27" i="39"/>
  <c r="M27" i="39"/>
  <c r="C28" i="39"/>
  <c r="D28" i="39"/>
  <c r="I28" i="39"/>
  <c r="J28" i="39"/>
  <c r="K28" i="39"/>
  <c r="L28" i="39"/>
  <c r="M28" i="39"/>
  <c r="C29" i="39"/>
  <c r="D29" i="39"/>
  <c r="I29" i="39"/>
  <c r="J29" i="39"/>
  <c r="K29" i="39"/>
  <c r="L29" i="39"/>
  <c r="M29" i="39"/>
  <c r="C30" i="39"/>
  <c r="D30" i="39"/>
  <c r="I30" i="39"/>
  <c r="J30" i="39"/>
  <c r="K30" i="39"/>
  <c r="L30" i="39"/>
  <c r="M30" i="39"/>
  <c r="C31" i="39"/>
  <c r="D31" i="39"/>
  <c r="I31" i="39"/>
  <c r="J31" i="39"/>
  <c r="K31" i="39"/>
  <c r="L31" i="39"/>
  <c r="M31" i="39"/>
  <c r="C32" i="39"/>
  <c r="D32" i="39"/>
  <c r="I32" i="39"/>
  <c r="J32" i="39"/>
  <c r="K32" i="39"/>
  <c r="L32" i="39"/>
  <c r="M32" i="39"/>
  <c r="C33" i="39"/>
  <c r="D33" i="39"/>
  <c r="I33" i="39"/>
  <c r="J33" i="39"/>
  <c r="K33" i="39"/>
  <c r="L33" i="39"/>
  <c r="M33" i="39"/>
  <c r="C34" i="39"/>
  <c r="D34" i="39"/>
  <c r="I34" i="39"/>
  <c r="J34" i="39"/>
  <c r="K34" i="39"/>
  <c r="L34" i="39"/>
  <c r="M34" i="39"/>
  <c r="C35" i="39"/>
  <c r="D35" i="39"/>
  <c r="I35" i="39"/>
  <c r="J35" i="39"/>
  <c r="K35" i="39"/>
  <c r="L35" i="39"/>
  <c r="M35" i="39"/>
  <c r="C37" i="39"/>
  <c r="D37" i="39"/>
  <c r="I37" i="39"/>
  <c r="J37" i="39"/>
  <c r="K37" i="39"/>
  <c r="L37" i="39"/>
  <c r="M37" i="39"/>
  <c r="C38" i="39"/>
  <c r="D38" i="39"/>
  <c r="I38" i="39"/>
  <c r="J38" i="39"/>
  <c r="K38" i="39"/>
  <c r="L38" i="39"/>
  <c r="M38" i="39"/>
  <c r="C39" i="39"/>
  <c r="D39" i="39"/>
  <c r="I39" i="39"/>
  <c r="J39" i="39"/>
  <c r="K39" i="39"/>
  <c r="L39" i="39"/>
  <c r="M39" i="39"/>
  <c r="C40" i="39"/>
  <c r="D40" i="39"/>
  <c r="I40" i="39"/>
  <c r="J40" i="39"/>
  <c r="K40" i="39"/>
  <c r="L40" i="39"/>
  <c r="M40" i="39"/>
  <c r="C41" i="39"/>
  <c r="D41" i="39"/>
  <c r="I41" i="39"/>
  <c r="J41" i="39"/>
  <c r="K41" i="39"/>
  <c r="L41" i="39"/>
  <c r="M41" i="39"/>
  <c r="C42" i="39"/>
  <c r="D42" i="39"/>
  <c r="I42" i="39"/>
  <c r="J42" i="39"/>
  <c r="K42" i="39"/>
  <c r="L42" i="39"/>
  <c r="M42" i="39"/>
  <c r="C43" i="39"/>
  <c r="D43" i="39"/>
  <c r="I43" i="39"/>
  <c r="J43" i="39"/>
  <c r="K43" i="39"/>
  <c r="L43" i="39"/>
  <c r="M43" i="39"/>
  <c r="C44" i="39"/>
  <c r="D44" i="39"/>
  <c r="I44" i="39"/>
  <c r="J44" i="39"/>
  <c r="K44" i="39"/>
  <c r="L44" i="39"/>
  <c r="M44" i="39"/>
  <c r="C45" i="39"/>
  <c r="D45" i="39"/>
  <c r="I45" i="39"/>
  <c r="J45" i="39"/>
  <c r="K45" i="39"/>
  <c r="L45" i="39"/>
  <c r="M45" i="39"/>
  <c r="C46" i="39"/>
  <c r="D46" i="39"/>
  <c r="I46" i="39"/>
  <c r="J46" i="39"/>
  <c r="K46" i="39"/>
  <c r="L46" i="39"/>
  <c r="M46" i="39"/>
  <c r="C47" i="39"/>
  <c r="D47" i="39"/>
  <c r="I47" i="39"/>
  <c r="J47" i="39"/>
  <c r="K47" i="39"/>
  <c r="L47" i="39"/>
  <c r="M47" i="39"/>
  <c r="C48" i="39"/>
  <c r="D48" i="39"/>
  <c r="I48" i="39"/>
  <c r="J48" i="39"/>
  <c r="K48" i="39"/>
  <c r="L48" i="39"/>
  <c r="M48" i="39"/>
  <c r="C49" i="39"/>
  <c r="D49" i="39"/>
  <c r="I49" i="39"/>
  <c r="J49" i="39"/>
  <c r="K49" i="39"/>
  <c r="L49" i="39"/>
  <c r="M49" i="39"/>
  <c r="C50" i="39"/>
  <c r="D50" i="39"/>
  <c r="I50" i="39"/>
  <c r="J50" i="39"/>
  <c r="K50" i="39"/>
  <c r="L50" i="39"/>
  <c r="M50" i="39"/>
  <c r="C51" i="39"/>
  <c r="D51" i="39"/>
  <c r="I51" i="39"/>
  <c r="J51" i="39"/>
  <c r="K51" i="39"/>
  <c r="L51" i="39"/>
  <c r="M51" i="39"/>
  <c r="C52" i="39"/>
  <c r="D52" i="39"/>
  <c r="I52" i="39"/>
  <c r="J52" i="39"/>
  <c r="K52" i="39"/>
  <c r="L52" i="39"/>
  <c r="M52" i="39"/>
  <c r="C53" i="39"/>
  <c r="D53" i="39"/>
  <c r="I53" i="39"/>
  <c r="J53" i="39"/>
  <c r="K53" i="39"/>
  <c r="L53" i="39"/>
  <c r="M53" i="39"/>
  <c r="C54" i="39"/>
  <c r="D54" i="39"/>
  <c r="I54" i="39"/>
  <c r="J54" i="39"/>
  <c r="K54" i="39"/>
  <c r="L54" i="39"/>
  <c r="M54" i="39"/>
  <c r="C55" i="39"/>
  <c r="D55" i="39"/>
  <c r="I55" i="39"/>
  <c r="J55" i="39"/>
  <c r="K55" i="39"/>
  <c r="L55" i="39"/>
  <c r="M55" i="39"/>
  <c r="C56" i="39"/>
  <c r="D56" i="39"/>
  <c r="I56" i="39"/>
  <c r="J56" i="39"/>
  <c r="K56" i="39"/>
  <c r="L56" i="39"/>
  <c r="M56" i="39"/>
  <c r="C57" i="39"/>
  <c r="D57" i="39"/>
  <c r="I57" i="39"/>
  <c r="J57" i="39"/>
  <c r="K57" i="39"/>
  <c r="L57" i="39"/>
  <c r="M57" i="39"/>
  <c r="C58" i="39"/>
  <c r="D58" i="39"/>
  <c r="I58" i="39"/>
  <c r="J58" i="39"/>
  <c r="K58" i="39"/>
  <c r="L58" i="39"/>
  <c r="M58" i="39"/>
  <c r="C59" i="39"/>
  <c r="D59" i="39"/>
  <c r="I59" i="39"/>
  <c r="J59" i="39"/>
  <c r="K59" i="39"/>
  <c r="L59" i="39"/>
  <c r="M59" i="39"/>
  <c r="C60" i="39"/>
  <c r="D60" i="39"/>
  <c r="I60" i="39"/>
  <c r="J60" i="39"/>
  <c r="K60" i="39"/>
  <c r="L60" i="39"/>
  <c r="M60" i="39"/>
  <c r="C61" i="39"/>
  <c r="D61" i="39"/>
  <c r="I61" i="39"/>
  <c r="J61" i="39"/>
  <c r="K61" i="39"/>
  <c r="L61" i="39"/>
  <c r="M61" i="39"/>
  <c r="C62" i="39"/>
  <c r="D62" i="39"/>
  <c r="I62" i="39"/>
  <c r="J62" i="39"/>
  <c r="K62" i="39"/>
  <c r="L62" i="39"/>
  <c r="M62" i="39"/>
  <c r="C63" i="39"/>
  <c r="D63" i="39"/>
  <c r="I63" i="39"/>
  <c r="J63" i="39"/>
  <c r="K63" i="39"/>
  <c r="L63" i="39"/>
  <c r="M63" i="39"/>
  <c r="C64" i="39"/>
  <c r="D64" i="39"/>
  <c r="I64" i="39"/>
  <c r="J64" i="39"/>
  <c r="K64" i="39"/>
  <c r="L64" i="39"/>
  <c r="M64" i="39"/>
  <c r="C65" i="39"/>
  <c r="D65" i="39"/>
  <c r="I65" i="39"/>
  <c r="J65" i="39"/>
  <c r="K65" i="39"/>
  <c r="L65" i="39"/>
  <c r="M65" i="39"/>
  <c r="C67" i="39"/>
  <c r="D67" i="39"/>
  <c r="I67" i="39"/>
  <c r="J67" i="39"/>
  <c r="K67" i="39"/>
  <c r="L67" i="39"/>
  <c r="M67" i="39"/>
  <c r="C68" i="39"/>
  <c r="D68" i="39"/>
  <c r="I68" i="39"/>
  <c r="J68" i="39"/>
  <c r="K68" i="39"/>
  <c r="L68" i="39"/>
  <c r="M68" i="39"/>
  <c r="C71" i="39"/>
  <c r="D71" i="39"/>
  <c r="I71" i="39"/>
  <c r="J71" i="39"/>
  <c r="K71" i="39"/>
  <c r="L71" i="39"/>
  <c r="M71" i="39"/>
  <c r="C72" i="39"/>
  <c r="D72" i="39"/>
  <c r="I72" i="39"/>
  <c r="J72" i="39"/>
  <c r="K72" i="39"/>
  <c r="L72" i="39"/>
  <c r="M72" i="39"/>
  <c r="C73" i="39"/>
  <c r="D73" i="39"/>
  <c r="I73" i="39"/>
  <c r="J73" i="39"/>
  <c r="K73" i="39"/>
  <c r="L73" i="39"/>
  <c r="M73" i="39"/>
  <c r="C74" i="39"/>
  <c r="D74" i="39"/>
  <c r="I74" i="39"/>
  <c r="J74" i="39"/>
  <c r="K74" i="39"/>
  <c r="L74" i="39"/>
  <c r="M74" i="39"/>
  <c r="C75" i="39"/>
  <c r="D75" i="39"/>
  <c r="I75" i="39"/>
  <c r="J75" i="39"/>
  <c r="K75" i="39"/>
  <c r="L75" i="39"/>
  <c r="M75" i="39"/>
  <c r="C76" i="39"/>
  <c r="D76" i="39"/>
  <c r="I76" i="39"/>
  <c r="J76" i="39"/>
  <c r="K76" i="39"/>
  <c r="L76" i="39"/>
  <c r="M76" i="39"/>
  <c r="C77" i="39"/>
  <c r="D77" i="39"/>
  <c r="I77" i="39"/>
  <c r="J77" i="39"/>
  <c r="K77" i="39"/>
  <c r="L77" i="39"/>
  <c r="M77" i="39"/>
  <c r="C78" i="39"/>
  <c r="D78" i="39"/>
  <c r="I78" i="39"/>
  <c r="J78" i="39"/>
  <c r="K78" i="39"/>
  <c r="L78" i="39"/>
  <c r="M78" i="39"/>
  <c r="C79" i="39"/>
  <c r="D79" i="39"/>
  <c r="I79" i="39"/>
  <c r="J79" i="39"/>
  <c r="K79" i="39"/>
  <c r="L79" i="39"/>
  <c r="M79" i="39"/>
  <c r="C80" i="39"/>
  <c r="D80" i="39"/>
  <c r="I80" i="39"/>
  <c r="J80" i="39"/>
  <c r="K80" i="39"/>
  <c r="L80" i="39"/>
  <c r="M80" i="39"/>
  <c r="C81" i="39"/>
  <c r="D81" i="39"/>
  <c r="I81" i="39"/>
  <c r="J81" i="39"/>
  <c r="K81" i="39"/>
  <c r="L81" i="39"/>
  <c r="M81" i="39"/>
  <c r="C82" i="39"/>
  <c r="D82" i="39"/>
  <c r="I82" i="39"/>
  <c r="J82" i="39"/>
  <c r="K82" i="39"/>
  <c r="L82" i="39"/>
  <c r="M82" i="39"/>
  <c r="C83" i="39"/>
  <c r="D83" i="39"/>
  <c r="I83" i="39"/>
  <c r="J83" i="39"/>
  <c r="K83" i="39"/>
  <c r="L83" i="39"/>
  <c r="M83" i="39"/>
  <c r="C84" i="39"/>
  <c r="D84" i="39"/>
  <c r="I84" i="39"/>
  <c r="J84" i="39"/>
  <c r="K84" i="39"/>
  <c r="L84" i="39"/>
  <c r="M84" i="39"/>
  <c r="C85" i="39"/>
  <c r="D85" i="39"/>
  <c r="I85" i="39"/>
  <c r="J85" i="39"/>
  <c r="K85" i="39"/>
  <c r="L85" i="39"/>
  <c r="M85" i="39"/>
  <c r="C86" i="39"/>
  <c r="D86" i="39"/>
  <c r="I86" i="39"/>
  <c r="J86" i="39"/>
  <c r="K86" i="39"/>
  <c r="L86" i="39"/>
  <c r="M86" i="39"/>
  <c r="C87" i="39"/>
  <c r="D87" i="39"/>
  <c r="I87" i="39"/>
  <c r="J87" i="39"/>
  <c r="K87" i="39"/>
  <c r="L87" i="39"/>
  <c r="M87" i="39"/>
  <c r="C88" i="39"/>
  <c r="D88" i="39"/>
  <c r="I88" i="39"/>
  <c r="J88" i="39"/>
  <c r="K88" i="39"/>
  <c r="L88" i="39"/>
  <c r="M88" i="39"/>
  <c r="C89" i="39"/>
  <c r="D89" i="39"/>
  <c r="I89" i="39"/>
  <c r="J89" i="39"/>
  <c r="K89" i="39"/>
  <c r="L89" i="39"/>
  <c r="M89" i="39"/>
  <c r="C90" i="39"/>
  <c r="D90" i="39"/>
  <c r="I90" i="39"/>
  <c r="J90" i="39"/>
  <c r="K90" i="39"/>
  <c r="L90" i="39"/>
  <c r="M90" i="39"/>
  <c r="C91" i="39"/>
  <c r="D91" i="39"/>
  <c r="I91" i="39"/>
  <c r="J91" i="39"/>
  <c r="K91" i="39"/>
  <c r="L91" i="39"/>
  <c r="M91" i="39"/>
  <c r="C92" i="39"/>
  <c r="D92" i="39"/>
  <c r="I92" i="39"/>
  <c r="J92" i="39"/>
  <c r="K92" i="39"/>
  <c r="L92" i="39"/>
  <c r="M92" i="39"/>
  <c r="M110" i="39" l="1"/>
  <c r="L110" i="39"/>
  <c r="I174" i="38"/>
  <c r="J174" i="38"/>
  <c r="J110" i="39"/>
  <c r="I110" i="39"/>
  <c r="K174" i="38"/>
  <c r="K110" i="39"/>
  <c r="C110" i="39"/>
  <c r="C174" i="38"/>
  <c r="E34" i="5"/>
  <c r="E26" i="5"/>
  <c r="D110" i="39"/>
  <c r="D174" i="38"/>
  <c r="G116" i="38"/>
  <c r="G100" i="38"/>
  <c r="G92" i="38"/>
  <c r="G120" i="38"/>
  <c r="G87" i="38"/>
  <c r="G135" i="38"/>
  <c r="G127" i="38"/>
  <c r="G76" i="38"/>
  <c r="G83" i="38"/>
  <c r="G79" i="38"/>
  <c r="G119" i="38"/>
  <c r="G117" i="38"/>
  <c r="G131" i="38"/>
  <c r="G123" i="38"/>
  <c r="G99" i="38"/>
  <c r="G148" i="38"/>
  <c r="G140" i="38"/>
  <c r="G97" i="38"/>
  <c r="G75" i="38"/>
  <c r="G138" i="38"/>
  <c r="G130" i="38"/>
  <c r="G122" i="38"/>
  <c r="G144" i="38"/>
  <c r="G112" i="38"/>
  <c r="G101" i="38"/>
  <c r="G132" i="38"/>
  <c r="G124" i="38"/>
  <c r="G113" i="38"/>
  <c r="G102" i="38"/>
  <c r="G94" i="38"/>
  <c r="G108" i="38"/>
  <c r="G103" i="38"/>
  <c r="G95" i="38"/>
  <c r="G136" i="38"/>
  <c r="G128" i="38"/>
  <c r="G106" i="38"/>
  <c r="G98" i="38"/>
  <c r="G145" i="38"/>
  <c r="G134" i="38"/>
  <c r="G126" i="38"/>
  <c r="G121" i="38"/>
  <c r="G104" i="38"/>
  <c r="G96" i="38"/>
  <c r="G73" i="38"/>
  <c r="G142" i="38"/>
  <c r="G139" i="38"/>
  <c r="G125" i="38"/>
  <c r="G110" i="38"/>
  <c r="G107" i="38"/>
  <c r="G80" i="38"/>
  <c r="G77" i="38"/>
  <c r="G74" i="38"/>
  <c r="G137" i="38"/>
  <c r="G105" i="38"/>
  <c r="G93" i="38"/>
  <c r="G90" i="38"/>
  <c r="G86" i="38"/>
  <c r="G154" i="38"/>
  <c r="G146" i="38"/>
  <c r="G143" i="38"/>
  <c r="G129" i="38"/>
  <c r="G114" i="38"/>
  <c r="G111" i="38"/>
  <c r="G84" i="38"/>
  <c r="G81" i="38"/>
  <c r="G78" i="38"/>
  <c r="G141" i="38"/>
  <c r="G109" i="38"/>
  <c r="G91" i="38"/>
  <c r="G155" i="38"/>
  <c r="G147" i="38"/>
  <c r="G133" i="38"/>
  <c r="G118" i="38"/>
  <c r="G115" i="38"/>
  <c r="G88" i="38"/>
  <c r="G85" i="38"/>
  <c r="G82" i="38"/>
  <c r="G42" i="38"/>
  <c r="G34" i="38"/>
  <c r="G43" i="38"/>
  <c r="G35" i="38"/>
  <c r="G45" i="38"/>
  <c r="G37" i="38"/>
  <c r="G48" i="38"/>
  <c r="G40" i="38"/>
  <c r="G47" i="38"/>
  <c r="G32" i="38"/>
  <c r="G29" i="38"/>
  <c r="G55" i="38"/>
  <c r="G46" i="38"/>
  <c r="G41" i="38"/>
  <c r="G38" i="38"/>
  <c r="G33" i="38"/>
  <c r="G69" i="38" s="1"/>
  <c r="G30" i="38"/>
  <c r="G44" i="38"/>
  <c r="G36" i="38"/>
  <c r="G28" i="38"/>
  <c r="G58" i="38"/>
  <c r="G39" i="38"/>
  <c r="G31" i="38"/>
  <c r="G87" i="39"/>
  <c r="G79" i="39"/>
  <c r="G71" i="39"/>
  <c r="G60" i="39"/>
  <c r="G52" i="39"/>
  <c r="G44" i="39"/>
  <c r="G35" i="39"/>
  <c r="G27" i="39"/>
  <c r="G17" i="39"/>
  <c r="G85" i="39"/>
  <c r="G77" i="39"/>
  <c r="G67" i="39"/>
  <c r="G58" i="39"/>
  <c r="G50" i="39"/>
  <c r="G42" i="39"/>
  <c r="G33" i="39"/>
  <c r="G25" i="39"/>
  <c r="G91" i="39"/>
  <c r="G83" i="39"/>
  <c r="G75" i="39"/>
  <c r="G64" i="39"/>
  <c r="G56" i="39"/>
  <c r="G48" i="39"/>
  <c r="G40" i="39"/>
  <c r="G31" i="39"/>
  <c r="G23" i="39"/>
  <c r="G89" i="39"/>
  <c r="G81" i="39"/>
  <c r="G73" i="39"/>
  <c r="G62" i="39"/>
  <c r="G54" i="39"/>
  <c r="G46" i="39"/>
  <c r="G38" i="39"/>
  <c r="G29" i="39"/>
  <c r="G21" i="39"/>
  <c r="G88" i="39"/>
  <c r="G80" i="39"/>
  <c r="G72" i="39"/>
  <c r="G61" i="39"/>
  <c r="G53" i="39"/>
  <c r="G45" i="39"/>
  <c r="G37" i="39"/>
  <c r="G28" i="39"/>
  <c r="G20" i="39"/>
  <c r="G90" i="39"/>
  <c r="G82" i="39"/>
  <c r="G74" i="39"/>
  <c r="G63" i="39"/>
  <c r="G55" i="39"/>
  <c r="G47" i="39"/>
  <c r="G39" i="39"/>
  <c r="G30" i="39"/>
  <c r="G22" i="39"/>
  <c r="G92" i="39"/>
  <c r="G84" i="39"/>
  <c r="G76" i="39"/>
  <c r="G65" i="39"/>
  <c r="G57" i="39"/>
  <c r="G49" i="39"/>
  <c r="G41" i="39"/>
  <c r="G32" i="39"/>
  <c r="G24" i="39"/>
  <c r="G86" i="39"/>
  <c r="G78" i="39"/>
  <c r="G68" i="39"/>
  <c r="G59" i="39"/>
  <c r="G51" i="39"/>
  <c r="G43" i="39"/>
  <c r="G34" i="39"/>
  <c r="G26" i="39"/>
  <c r="G174" i="38" l="1"/>
  <c r="G110" i="39"/>
  <c r="F31" i="10" l="1"/>
  <c r="F11" i="10"/>
  <c r="F15" i="10"/>
  <c r="F27" i="10" l="1"/>
  <c r="F19" i="10"/>
  <c r="F35" i="10"/>
  <c r="O1038" i="13" l="1"/>
  <c r="O1202" i="13"/>
  <c r="M1202" i="13"/>
  <c r="O1201" i="13"/>
  <c r="M1201" i="13"/>
  <c r="O1200" i="13"/>
  <c r="M1200" i="13"/>
  <c r="O1199" i="13"/>
  <c r="M1199" i="13"/>
  <c r="O1198" i="13"/>
  <c r="M1198" i="13"/>
  <c r="O1197" i="13"/>
  <c r="M1197" i="13"/>
  <c r="O1196" i="13"/>
  <c r="M1196" i="13"/>
  <c r="O1195" i="13"/>
  <c r="M1195" i="13"/>
  <c r="O1194" i="13"/>
  <c r="M1194" i="13"/>
  <c r="O1193" i="13"/>
  <c r="M1193" i="13"/>
  <c r="O1192" i="13"/>
  <c r="M1192" i="13"/>
  <c r="O1191" i="13"/>
  <c r="M1191" i="13"/>
  <c r="O1190" i="13"/>
  <c r="M1190" i="13"/>
  <c r="O1189" i="13"/>
  <c r="M1189" i="13"/>
  <c r="O1188" i="13"/>
  <c r="M1188" i="13"/>
  <c r="O1187" i="13"/>
  <c r="M1187" i="13"/>
  <c r="O1186" i="13"/>
  <c r="M1186" i="13"/>
  <c r="O1185" i="13"/>
  <c r="M1185" i="13"/>
  <c r="O1184" i="13"/>
  <c r="M1184" i="13"/>
  <c r="O1183" i="13"/>
  <c r="M1183" i="13"/>
  <c r="O1182" i="13"/>
  <c r="M1182" i="13"/>
  <c r="O1181" i="13"/>
  <c r="M1181" i="13"/>
  <c r="O1180" i="13"/>
  <c r="M1180" i="13"/>
  <c r="O1179" i="13"/>
  <c r="M1179" i="13"/>
  <c r="O1178" i="13"/>
  <c r="M1178" i="13"/>
  <c r="O1177" i="13"/>
  <c r="M1177" i="13"/>
  <c r="O1176" i="13"/>
  <c r="M1176" i="13"/>
  <c r="O1175" i="13"/>
  <c r="M1175" i="13"/>
  <c r="O1174" i="13"/>
  <c r="M1174" i="13"/>
  <c r="O1173" i="13"/>
  <c r="M1173" i="13"/>
  <c r="O1172" i="13"/>
  <c r="M1172" i="13"/>
  <c r="O1171" i="13"/>
  <c r="M1171" i="13"/>
  <c r="O1170" i="13"/>
  <c r="M1170" i="13"/>
  <c r="O1169" i="13"/>
  <c r="M1169" i="13"/>
  <c r="O1168" i="13"/>
  <c r="M1168" i="13"/>
  <c r="O1167" i="13"/>
  <c r="M1167" i="13"/>
  <c r="O1166" i="13"/>
  <c r="M1166" i="13"/>
  <c r="O1165" i="13"/>
  <c r="M1165" i="13"/>
  <c r="O1164" i="13"/>
  <c r="M1164" i="13"/>
  <c r="O1163" i="13"/>
  <c r="M1163" i="13"/>
  <c r="O1162" i="13"/>
  <c r="M1162" i="13"/>
  <c r="O1161" i="13"/>
  <c r="M1161" i="13"/>
  <c r="O1160" i="13"/>
  <c r="M1160" i="13"/>
  <c r="O1159" i="13"/>
  <c r="M1159" i="13"/>
  <c r="O1158" i="13"/>
  <c r="M1158" i="13"/>
  <c r="O1157" i="13"/>
  <c r="M1157" i="13"/>
  <c r="O1156" i="13"/>
  <c r="M1156" i="13"/>
  <c r="O1155" i="13"/>
  <c r="M1155" i="13"/>
  <c r="O1154" i="13"/>
  <c r="M1154" i="13"/>
  <c r="O1153" i="13"/>
  <c r="M1153" i="13"/>
  <c r="O1152" i="13"/>
  <c r="M1152" i="13"/>
  <c r="O1151" i="13"/>
  <c r="M1151" i="13"/>
  <c r="O1150" i="13"/>
  <c r="M1150" i="13"/>
  <c r="O1149" i="13"/>
  <c r="M1149" i="13"/>
  <c r="O1148" i="13"/>
  <c r="M1148" i="13"/>
  <c r="O1145" i="13"/>
  <c r="M1145" i="13"/>
  <c r="D1143" i="13"/>
  <c r="C1143" i="13"/>
  <c r="C1144" i="13" s="1"/>
  <c r="C1145" i="13" s="1"/>
  <c r="C1146" i="13" s="1"/>
  <c r="C1147" i="13" s="1"/>
  <c r="C1148" i="13" s="1"/>
  <c r="C1149" i="13" s="1"/>
  <c r="C1150" i="13" s="1"/>
  <c r="C1151" i="13" s="1"/>
  <c r="C1152" i="13" s="1"/>
  <c r="C1153" i="13" s="1"/>
  <c r="C1154" i="13" s="1"/>
  <c r="C1155" i="13" s="1"/>
  <c r="C1156" i="13" s="1"/>
  <c r="C1157" i="13" s="1"/>
  <c r="C1158" i="13" s="1"/>
  <c r="C1159" i="13" s="1"/>
  <c r="C1160" i="13" s="1"/>
  <c r="C1161" i="13" s="1"/>
  <c r="C1162" i="13" s="1"/>
  <c r="C1163" i="13" s="1"/>
  <c r="C1164" i="13" s="1"/>
  <c r="C1165" i="13" s="1"/>
  <c r="C1166" i="13" s="1"/>
  <c r="C1167" i="13" s="1"/>
  <c r="C1168" i="13" s="1"/>
  <c r="C1169" i="13" s="1"/>
  <c r="C1170" i="13" s="1"/>
  <c r="C1171" i="13" s="1"/>
  <c r="C1172" i="13" s="1"/>
  <c r="L1138" i="13"/>
  <c r="J1136" i="13"/>
  <c r="P1124" i="13"/>
  <c r="O1124" i="13"/>
  <c r="O1116" i="13"/>
  <c r="M1116" i="13"/>
  <c r="O1115" i="13"/>
  <c r="M1115" i="13"/>
  <c r="O1114" i="13"/>
  <c r="M1114" i="13"/>
  <c r="O1113" i="13"/>
  <c r="M1113" i="13"/>
  <c r="O1112" i="13"/>
  <c r="M1112" i="13"/>
  <c r="O1111" i="13"/>
  <c r="M1111" i="13"/>
  <c r="O1110" i="13"/>
  <c r="M1110" i="13"/>
  <c r="O1109" i="13"/>
  <c r="M1109" i="13"/>
  <c r="O1108" i="13"/>
  <c r="M1108" i="13"/>
  <c r="O1107" i="13"/>
  <c r="M1107" i="13"/>
  <c r="O1106" i="13"/>
  <c r="M1106" i="13"/>
  <c r="O1105" i="13"/>
  <c r="M1105" i="13"/>
  <c r="O1104" i="13"/>
  <c r="M1104" i="13"/>
  <c r="O1103" i="13"/>
  <c r="M1103" i="13"/>
  <c r="O1102" i="13"/>
  <c r="M1102" i="13"/>
  <c r="O1101" i="13"/>
  <c r="M1101" i="13"/>
  <c r="O1100" i="13"/>
  <c r="M1100" i="13"/>
  <c r="O1099" i="13"/>
  <c r="M1099" i="13"/>
  <c r="O1098" i="13"/>
  <c r="M1098" i="13"/>
  <c r="O1097" i="13"/>
  <c r="M1097" i="13"/>
  <c r="O1096" i="13"/>
  <c r="M1096" i="13"/>
  <c r="O1095" i="13"/>
  <c r="M1095" i="13"/>
  <c r="O1094" i="13"/>
  <c r="M1094" i="13"/>
  <c r="O1093" i="13"/>
  <c r="M1093" i="13"/>
  <c r="O1092" i="13"/>
  <c r="M1092" i="13"/>
  <c r="O1091" i="13"/>
  <c r="M1091" i="13"/>
  <c r="O1090" i="13"/>
  <c r="M1090" i="13"/>
  <c r="O1089" i="13"/>
  <c r="M1089" i="13"/>
  <c r="O1088" i="13"/>
  <c r="M1088" i="13"/>
  <c r="O1087" i="13"/>
  <c r="M1087" i="13"/>
  <c r="O1086" i="13"/>
  <c r="M1086" i="13"/>
  <c r="O1085" i="13"/>
  <c r="M1085" i="13"/>
  <c r="O1084" i="13"/>
  <c r="M1084" i="13"/>
  <c r="O1083" i="13"/>
  <c r="M1083" i="13"/>
  <c r="O1082" i="13"/>
  <c r="M1082" i="13"/>
  <c r="O1081" i="13"/>
  <c r="M1081" i="13"/>
  <c r="O1080" i="13"/>
  <c r="M1080" i="13"/>
  <c r="O1079" i="13"/>
  <c r="M1079" i="13"/>
  <c r="O1078" i="13"/>
  <c r="M1078" i="13"/>
  <c r="O1077" i="13"/>
  <c r="M1077" i="13"/>
  <c r="O1076" i="13"/>
  <c r="M1076" i="13"/>
  <c r="O1075" i="13"/>
  <c r="M1075" i="13"/>
  <c r="O1074" i="13"/>
  <c r="M1074" i="13"/>
  <c r="O1073" i="13"/>
  <c r="M1073" i="13"/>
  <c r="O1072" i="13"/>
  <c r="M1072" i="13"/>
  <c r="O1071" i="13"/>
  <c r="M1071" i="13"/>
  <c r="O1070" i="13"/>
  <c r="M1070" i="13"/>
  <c r="O1069" i="13"/>
  <c r="M1069" i="13"/>
  <c r="O1068" i="13"/>
  <c r="M1068" i="13"/>
  <c r="O1067" i="13"/>
  <c r="M1067" i="13"/>
  <c r="O1066" i="13"/>
  <c r="M1066" i="13"/>
  <c r="O1065" i="13"/>
  <c r="M1065" i="13"/>
  <c r="O1064" i="13"/>
  <c r="M1064" i="13"/>
  <c r="O1063" i="13"/>
  <c r="M1063" i="13"/>
  <c r="O1062" i="13"/>
  <c r="M1062" i="13"/>
  <c r="O1061" i="13"/>
  <c r="M1061" i="13"/>
  <c r="O1060" i="13"/>
  <c r="M1060" i="13"/>
  <c r="D1057" i="13"/>
  <c r="C1057" i="13"/>
  <c r="C1058" i="13" s="1"/>
  <c r="C1059" i="13" s="1"/>
  <c r="C1060" i="13" s="1"/>
  <c r="C1061" i="13" s="1"/>
  <c r="C1062" i="13" s="1"/>
  <c r="C1063" i="13" s="1"/>
  <c r="C1064" i="13" s="1"/>
  <c r="C1065" i="13" s="1"/>
  <c r="C1066" i="13" s="1"/>
  <c r="C1067" i="13" s="1"/>
  <c r="C1068" i="13" s="1"/>
  <c r="C1069" i="13" s="1"/>
  <c r="C1070" i="13" s="1"/>
  <c r="C1071" i="13" s="1"/>
  <c r="C1072" i="13" s="1"/>
  <c r="C1073" i="13" s="1"/>
  <c r="C1074" i="13" s="1"/>
  <c r="C1075" i="13" s="1"/>
  <c r="C1076" i="13" s="1"/>
  <c r="C1077" i="13" s="1"/>
  <c r="C1078" i="13" s="1"/>
  <c r="C1079" i="13" s="1"/>
  <c r="C1080" i="13" s="1"/>
  <c r="C1081" i="13" s="1"/>
  <c r="C1082" i="13" s="1"/>
  <c r="C1083" i="13" s="1"/>
  <c r="C1084" i="13" s="1"/>
  <c r="C1085" i="13" s="1"/>
  <c r="C1086" i="13" s="1"/>
  <c r="L1052" i="13"/>
  <c r="J1050" i="13"/>
  <c r="P1038" i="13"/>
  <c r="P1178" i="13" l="1"/>
  <c r="P1174" i="13"/>
  <c r="P1182" i="13"/>
  <c r="P1186" i="13"/>
  <c r="P1198" i="13"/>
  <c r="P1088" i="13"/>
  <c r="P1060" i="13"/>
  <c r="P1104" i="13"/>
  <c r="P1076" i="13"/>
  <c r="P1072" i="13"/>
  <c r="P1092" i="13"/>
  <c r="P1156" i="13"/>
  <c r="P1160" i="13"/>
  <c r="P1145" i="13"/>
  <c r="P1188" i="13"/>
  <c r="P1159" i="13"/>
  <c r="P1148" i="13"/>
  <c r="P1171" i="13"/>
  <c r="P1183" i="13"/>
  <c r="P1187" i="13"/>
  <c r="P1164" i="13"/>
  <c r="P1168" i="13"/>
  <c r="P1173" i="13"/>
  <c r="P1177" i="13"/>
  <c r="P1189" i="13"/>
  <c r="P1193" i="13"/>
  <c r="P1197" i="13"/>
  <c r="P1201" i="13"/>
  <c r="P1153" i="13"/>
  <c r="P1172" i="13"/>
  <c r="P1180" i="13"/>
  <c r="P1192" i="13"/>
  <c r="P1196" i="13"/>
  <c r="P1161" i="13"/>
  <c r="P1166" i="13"/>
  <c r="P1152" i="13"/>
  <c r="P1167" i="13"/>
  <c r="P1151" i="13"/>
  <c r="P1158" i="13"/>
  <c r="P1176" i="13"/>
  <c r="P1191" i="13"/>
  <c r="P1195" i="13"/>
  <c r="P1155" i="13"/>
  <c r="P1169" i="13"/>
  <c r="P1184" i="13"/>
  <c r="P1199" i="13"/>
  <c r="P1165" i="13"/>
  <c r="P1163" i="13"/>
  <c r="P1181" i="13"/>
  <c r="P1185" i="13"/>
  <c r="P1200" i="13"/>
  <c r="P1150" i="13"/>
  <c r="P1157" i="13"/>
  <c r="P1175" i="13"/>
  <c r="P1179" i="13"/>
  <c r="P1190" i="13"/>
  <c r="C1173" i="13"/>
  <c r="C1174" i="13" s="1"/>
  <c r="C1175" i="13" s="1"/>
  <c r="C1176" i="13" s="1"/>
  <c r="C1177" i="13" s="1"/>
  <c r="C1178" i="13" s="1"/>
  <c r="C1179" i="13" s="1"/>
  <c r="C1180" i="13" s="1"/>
  <c r="C1181" i="13" s="1"/>
  <c r="C1182" i="13" s="1"/>
  <c r="C1183" i="13" s="1"/>
  <c r="C1184" i="13" s="1"/>
  <c r="C1185" i="13" s="1"/>
  <c r="C1186" i="13" s="1"/>
  <c r="C1187" i="13" s="1"/>
  <c r="C1188" i="13" s="1"/>
  <c r="C1189" i="13" s="1"/>
  <c r="C1190" i="13" s="1"/>
  <c r="C1191" i="13" s="1"/>
  <c r="C1192" i="13" s="1"/>
  <c r="C1193" i="13" s="1"/>
  <c r="C1194" i="13" s="1"/>
  <c r="C1195" i="13" s="1"/>
  <c r="C1196" i="13" s="1"/>
  <c r="C1197" i="13" s="1"/>
  <c r="C1198" i="13" s="1"/>
  <c r="C1199" i="13" s="1"/>
  <c r="C1200" i="13" s="1"/>
  <c r="C1201" i="13" s="1"/>
  <c r="C1202" i="13" s="1"/>
  <c r="M1131" i="13"/>
  <c r="N1131" i="13"/>
  <c r="P1149" i="13"/>
  <c r="P1170" i="13"/>
  <c r="L1130" i="13"/>
  <c r="P1162" i="13"/>
  <c r="P1154" i="13"/>
  <c r="P1194" i="13"/>
  <c r="P1202" i="13"/>
  <c r="P1077" i="13"/>
  <c r="P1081" i="13"/>
  <c r="P1085" i="13"/>
  <c r="P1089" i="13"/>
  <c r="P1101" i="13"/>
  <c r="P1109" i="13"/>
  <c r="P1062" i="13"/>
  <c r="P1066" i="13"/>
  <c r="P1074" i="13"/>
  <c r="P1082" i="13"/>
  <c r="P1094" i="13"/>
  <c r="P1102" i="13"/>
  <c r="P1106" i="13"/>
  <c r="P1116" i="13"/>
  <c r="P1110" i="13"/>
  <c r="P1108" i="13"/>
  <c r="P1069" i="13"/>
  <c r="P1093" i="13"/>
  <c r="P1097" i="13"/>
  <c r="P1086" i="13"/>
  <c r="P1100" i="13"/>
  <c r="P1087" i="13"/>
  <c r="P1095" i="13"/>
  <c r="P1061" i="13"/>
  <c r="P1112" i="13"/>
  <c r="P1096" i="13"/>
  <c r="P1103" i="13"/>
  <c r="P1113" i="13"/>
  <c r="P1064" i="13"/>
  <c r="P1068" i="13"/>
  <c r="P1107" i="13"/>
  <c r="P1080" i="13"/>
  <c r="P1111" i="13"/>
  <c r="P1084" i="13"/>
  <c r="P1073" i="13"/>
  <c r="P1098" i="13"/>
  <c r="P1115" i="13"/>
  <c r="P1065" i="13"/>
  <c r="P1070" i="13"/>
  <c r="P1105" i="13"/>
  <c r="P1078" i="13"/>
  <c r="C1087" i="13"/>
  <c r="C1088" i="13" s="1"/>
  <c r="C1089" i="13" s="1"/>
  <c r="C1090" i="13" s="1"/>
  <c r="C1091" i="13" s="1"/>
  <c r="C1092" i="13" s="1"/>
  <c r="C1093" i="13" s="1"/>
  <c r="C1094" i="13" s="1"/>
  <c r="C1095" i="13" s="1"/>
  <c r="C1096" i="13" s="1"/>
  <c r="C1097" i="13" s="1"/>
  <c r="C1098" i="13" s="1"/>
  <c r="C1099" i="13" s="1"/>
  <c r="C1100" i="13" s="1"/>
  <c r="C1101" i="13" s="1"/>
  <c r="C1102" i="13" s="1"/>
  <c r="C1103" i="13" s="1"/>
  <c r="C1104" i="13" s="1"/>
  <c r="C1105" i="13" s="1"/>
  <c r="C1106" i="13" s="1"/>
  <c r="C1107" i="13" s="1"/>
  <c r="C1108" i="13" s="1"/>
  <c r="C1109" i="13" s="1"/>
  <c r="C1110" i="13" s="1"/>
  <c r="C1111" i="13" s="1"/>
  <c r="C1112" i="13" s="1"/>
  <c r="C1113" i="13" s="1"/>
  <c r="C1114" i="13" s="1"/>
  <c r="C1115" i="13" s="1"/>
  <c r="C1116" i="13" s="1"/>
  <c r="N1045" i="13"/>
  <c r="M1045" i="13"/>
  <c r="P1063" i="13"/>
  <c r="P1083" i="13"/>
  <c r="P1079" i="13"/>
  <c r="P1075" i="13"/>
  <c r="P1071" i="13"/>
  <c r="P1091" i="13"/>
  <c r="P1099" i="13"/>
  <c r="P1114" i="13"/>
  <c r="L1044" i="13"/>
  <c r="P1067" i="13"/>
  <c r="P1090" i="13"/>
  <c r="O1131" i="13" l="1"/>
  <c r="O1045" i="13"/>
  <c r="D95" i="6" l="1"/>
  <c r="G95" i="6"/>
  <c r="J95" i="6" l="1"/>
  <c r="I95" i="6"/>
  <c r="E95" i="6" l="1"/>
  <c r="K95" i="6"/>
  <c r="O1059" i="13" l="1"/>
  <c r="M1059" i="13"/>
  <c r="P1059" i="13" l="1"/>
  <c r="C170" i="38" l="1"/>
  <c r="D170" i="38"/>
  <c r="C93" i="39" l="1"/>
  <c r="K54" i="6" l="1"/>
  <c r="E54" i="6" l="1"/>
  <c r="O1030" i="13" l="1"/>
  <c r="M1030" i="13"/>
  <c r="O1029" i="13"/>
  <c r="M1029" i="13"/>
  <c r="O1028" i="13"/>
  <c r="M1028" i="13"/>
  <c r="O1027" i="13"/>
  <c r="M1027" i="13"/>
  <c r="O1026" i="13"/>
  <c r="M1026" i="13"/>
  <c r="O1025" i="13"/>
  <c r="M1025" i="13"/>
  <c r="O1024" i="13"/>
  <c r="M1024" i="13"/>
  <c r="O1023" i="13"/>
  <c r="M1023" i="13"/>
  <c r="O1022" i="13"/>
  <c r="M1022" i="13"/>
  <c r="O1021" i="13"/>
  <c r="M1021" i="13"/>
  <c r="O1020" i="13"/>
  <c r="M1020" i="13"/>
  <c r="O1019" i="13"/>
  <c r="M1019" i="13"/>
  <c r="O1018" i="13"/>
  <c r="M1018" i="13"/>
  <c r="O1017" i="13"/>
  <c r="M1017" i="13"/>
  <c r="O1016" i="13"/>
  <c r="M1016" i="13"/>
  <c r="O1015" i="13"/>
  <c r="M1015" i="13"/>
  <c r="O1014" i="13"/>
  <c r="M1014" i="13"/>
  <c r="O1013" i="13"/>
  <c r="M1013" i="13"/>
  <c r="O1012" i="13"/>
  <c r="M1012" i="13"/>
  <c r="O1011" i="13"/>
  <c r="M1011" i="13"/>
  <c r="O1010" i="13"/>
  <c r="M1010" i="13"/>
  <c r="O1009" i="13"/>
  <c r="M1009" i="13"/>
  <c r="O1008" i="13"/>
  <c r="M1008" i="13"/>
  <c r="O1007" i="13"/>
  <c r="M1007" i="13"/>
  <c r="O1006" i="13"/>
  <c r="M1006" i="13"/>
  <c r="O1005" i="13"/>
  <c r="M1005" i="13"/>
  <c r="O1004" i="13"/>
  <c r="M1004" i="13"/>
  <c r="O1003" i="13"/>
  <c r="M1003" i="13"/>
  <c r="O1002" i="13"/>
  <c r="M1002" i="13"/>
  <c r="O1001" i="13"/>
  <c r="M1001" i="13"/>
  <c r="O1000" i="13"/>
  <c r="M1000" i="13"/>
  <c r="O999" i="13"/>
  <c r="M999" i="13"/>
  <c r="O998" i="13"/>
  <c r="M998" i="13"/>
  <c r="O997" i="13"/>
  <c r="M997" i="13"/>
  <c r="O996" i="13"/>
  <c r="M996" i="13"/>
  <c r="O995" i="13"/>
  <c r="M995" i="13"/>
  <c r="O994" i="13"/>
  <c r="M994" i="13"/>
  <c r="O993" i="13"/>
  <c r="M993" i="13"/>
  <c r="O992" i="13"/>
  <c r="M992" i="13"/>
  <c r="O991" i="13"/>
  <c r="M991" i="13"/>
  <c r="O990" i="13"/>
  <c r="M990" i="13"/>
  <c r="O989" i="13"/>
  <c r="M989" i="13"/>
  <c r="O988" i="13"/>
  <c r="M988" i="13"/>
  <c r="O987" i="13"/>
  <c r="M987" i="13"/>
  <c r="O986" i="13"/>
  <c r="M986" i="13"/>
  <c r="O985" i="13"/>
  <c r="M985" i="13"/>
  <c r="O984" i="13"/>
  <c r="M984" i="13"/>
  <c r="O983" i="13"/>
  <c r="M983" i="13"/>
  <c r="O982" i="13"/>
  <c r="M982" i="13"/>
  <c r="O981" i="13"/>
  <c r="M981" i="13"/>
  <c r="O980" i="13"/>
  <c r="M980" i="13"/>
  <c r="O979" i="13"/>
  <c r="M979" i="13"/>
  <c r="O978" i="13"/>
  <c r="M978" i="13"/>
  <c r="O977" i="13"/>
  <c r="M977" i="13"/>
  <c r="O971" i="13"/>
  <c r="M971" i="13"/>
  <c r="D971" i="13"/>
  <c r="C971" i="13"/>
  <c r="C972" i="13" s="1"/>
  <c r="C973" i="13" s="1"/>
  <c r="C974" i="13" s="1"/>
  <c r="C975" i="13" s="1"/>
  <c r="C976" i="13" s="1"/>
  <c r="C977" i="13" s="1"/>
  <c r="C978" i="13" s="1"/>
  <c r="C979" i="13" s="1"/>
  <c r="C980" i="13" s="1"/>
  <c r="C981" i="13" s="1"/>
  <c r="C982" i="13" s="1"/>
  <c r="C983" i="13" s="1"/>
  <c r="C984" i="13" s="1"/>
  <c r="C985" i="13" s="1"/>
  <c r="C986" i="13" s="1"/>
  <c r="C987" i="13" s="1"/>
  <c r="C988" i="13" s="1"/>
  <c r="C989" i="13" s="1"/>
  <c r="C990" i="13" s="1"/>
  <c r="C991" i="13" s="1"/>
  <c r="C992" i="13" s="1"/>
  <c r="C993" i="13" s="1"/>
  <c r="C994" i="13" s="1"/>
  <c r="C995" i="13" s="1"/>
  <c r="C996" i="13" s="1"/>
  <c r="C997" i="13" s="1"/>
  <c r="C998" i="13" s="1"/>
  <c r="C999" i="13" s="1"/>
  <c r="C1000" i="13" s="1"/>
  <c r="L966" i="13"/>
  <c r="J964" i="13"/>
  <c r="L958" i="13" s="1"/>
  <c r="P952" i="13"/>
  <c r="O952" i="13"/>
  <c r="P977" i="13" l="1"/>
  <c r="P981" i="13"/>
  <c r="P1005" i="13"/>
  <c r="P978" i="13"/>
  <c r="P986" i="13"/>
  <c r="P1010" i="13"/>
  <c r="P1018" i="13"/>
  <c r="P1021" i="13"/>
  <c r="P996" i="13"/>
  <c r="P990" i="13"/>
  <c r="P998" i="13"/>
  <c r="P979" i="13"/>
  <c r="P1003" i="13"/>
  <c r="P980" i="13"/>
  <c r="P984" i="13"/>
  <c r="P988" i="13"/>
  <c r="P1012" i="13"/>
  <c r="P1016" i="13"/>
  <c r="P1020" i="13"/>
  <c r="P983" i="13"/>
  <c r="P1029" i="13"/>
  <c r="P1004" i="13"/>
  <c r="P1023" i="13"/>
  <c r="P1027" i="13"/>
  <c r="P997" i="13"/>
  <c r="P989" i="13"/>
  <c r="P994" i="13"/>
  <c r="P1009" i="13"/>
  <c r="P1013" i="13"/>
  <c r="P987" i="13"/>
  <c r="P1001" i="13"/>
  <c r="P971" i="13"/>
  <c r="P991" i="13"/>
  <c r="P1011" i="13"/>
  <c r="P1019" i="13"/>
  <c r="P1030" i="13"/>
  <c r="P985" i="13"/>
  <c r="P992" i="13"/>
  <c r="P999" i="13"/>
  <c r="P1006" i="13"/>
  <c r="P1017" i="13"/>
  <c r="P1024" i="13"/>
  <c r="P1028" i="13"/>
  <c r="P982" i="13"/>
  <c r="P993" i="13"/>
  <c r="P1000" i="13"/>
  <c r="P1007" i="13"/>
  <c r="P1014" i="13"/>
  <c r="P1025" i="13"/>
  <c r="P1008" i="13"/>
  <c r="P1015" i="13"/>
  <c r="P1022" i="13"/>
  <c r="P1026" i="13"/>
  <c r="P995" i="13"/>
  <c r="P1002" i="13"/>
  <c r="C1001" i="13"/>
  <c r="C1002" i="13" s="1"/>
  <c r="C1003" i="13" s="1"/>
  <c r="C1004" i="13" s="1"/>
  <c r="C1005" i="13" s="1"/>
  <c r="C1006" i="13" s="1"/>
  <c r="C1007" i="13" s="1"/>
  <c r="C1008" i="13" s="1"/>
  <c r="C1009" i="13" s="1"/>
  <c r="C1010" i="13" s="1"/>
  <c r="C1011" i="13" s="1"/>
  <c r="C1012" i="13" s="1"/>
  <c r="C1013" i="13" s="1"/>
  <c r="C1014" i="13" s="1"/>
  <c r="C1015" i="13" s="1"/>
  <c r="C1016" i="13" s="1"/>
  <c r="C1017" i="13" s="1"/>
  <c r="C1018" i="13" s="1"/>
  <c r="C1019" i="13" s="1"/>
  <c r="C1020" i="13" s="1"/>
  <c r="C1021" i="13" s="1"/>
  <c r="C1022" i="13" s="1"/>
  <c r="C1023" i="13" s="1"/>
  <c r="C1024" i="13" s="1"/>
  <c r="C1025" i="13" s="1"/>
  <c r="C1026" i="13" s="1"/>
  <c r="C1027" i="13" s="1"/>
  <c r="C1028" i="13" s="1"/>
  <c r="C1029" i="13" s="1"/>
  <c r="C1030" i="13" s="1"/>
  <c r="N959" i="13"/>
  <c r="M959" i="13"/>
  <c r="O959" i="13" l="1"/>
  <c r="D159" i="38" l="1"/>
  <c r="C159" i="38"/>
  <c r="D62" i="9" l="1"/>
  <c r="G163" i="2" s="1"/>
  <c r="F62" i="9"/>
  <c r="K61" i="6" l="1"/>
  <c r="K60" i="6"/>
  <c r="K59" i="6"/>
  <c r="E61" i="6" l="1"/>
  <c r="E59" i="6"/>
  <c r="E60" i="6"/>
  <c r="D42" i="9" l="1"/>
  <c r="G162" i="2" s="1"/>
  <c r="F42" i="9"/>
  <c r="E40" i="9"/>
  <c r="F37" i="53" l="1"/>
  <c r="D37" i="53"/>
  <c r="H35" i="53"/>
  <c r="L32" i="53"/>
  <c r="N32" i="53" s="1"/>
  <c r="H32" i="53"/>
  <c r="J30" i="53"/>
  <c r="H30" i="53"/>
  <c r="F26" i="53"/>
  <c r="H24" i="53"/>
  <c r="L21" i="53"/>
  <c r="N21" i="53" s="1"/>
  <c r="H21" i="53"/>
  <c r="L19" i="53"/>
  <c r="N19" i="53" s="1"/>
  <c r="H19" i="53"/>
  <c r="J17" i="53"/>
  <c r="L17" i="53" s="1"/>
  <c r="D17" i="53"/>
  <c r="H17" i="53" s="1"/>
  <c r="A16" i="53"/>
  <c r="A17" i="53" s="1"/>
  <c r="A19" i="53" s="1"/>
  <c r="A21" i="53" s="1"/>
  <c r="A24" i="53" s="1"/>
  <c r="A26" i="53" s="1"/>
  <c r="A30" i="53" s="1"/>
  <c r="A32" i="53" s="1"/>
  <c r="A35" i="53" s="1"/>
  <c r="A37" i="53" s="1"/>
  <c r="N17" i="53" l="1"/>
  <c r="D26" i="53"/>
  <c r="L30" i="53"/>
  <c r="N30" i="53" s="1"/>
  <c r="J24" i="53"/>
  <c r="L24" i="53" s="1"/>
  <c r="N24" i="53" s="1"/>
  <c r="J35" i="53"/>
  <c r="L35" i="53" s="1"/>
  <c r="N35" i="53" s="1"/>
  <c r="L26" i="53" l="1"/>
  <c r="J26" i="53"/>
  <c r="N26" i="53"/>
  <c r="N37" i="53"/>
  <c r="L37" i="53"/>
  <c r="J37" i="53"/>
  <c r="D186" i="38" l="1"/>
  <c r="C186" i="38"/>
  <c r="D185" i="38"/>
  <c r="C185" i="38"/>
  <c r="D184" i="38"/>
  <c r="C184" i="38"/>
  <c r="K186" i="38"/>
  <c r="J186" i="38"/>
  <c r="I186" i="38"/>
  <c r="K185" i="38"/>
  <c r="J185" i="38"/>
  <c r="I185" i="38"/>
  <c r="K184" i="38"/>
  <c r="J184" i="38"/>
  <c r="I184" i="38"/>
  <c r="E50" i="5"/>
  <c r="A185" i="38"/>
  <c r="A186" i="38" s="1"/>
  <c r="A188" i="38" s="1"/>
  <c r="G186" i="38" l="1"/>
  <c r="G185" i="38"/>
  <c r="G50" i="5"/>
  <c r="G184" i="38"/>
  <c r="J156" i="38" l="1"/>
  <c r="J59" i="38"/>
  <c r="K156" i="38"/>
  <c r="I156" i="38"/>
  <c r="C156" i="38"/>
  <c r="C59" i="38"/>
  <c r="M93" i="39"/>
  <c r="M109" i="39" s="1"/>
  <c r="D156" i="38" l="1"/>
  <c r="G156" i="38" s="1"/>
  <c r="F157" i="38" l="1"/>
  <c r="D157" i="38" s="1"/>
  <c r="E157" i="38"/>
  <c r="C157" i="38" s="1"/>
  <c r="E60" i="38"/>
  <c r="C60" i="38" s="1"/>
  <c r="G157" i="38" l="1"/>
  <c r="E94" i="39"/>
  <c r="C94" i="39" s="1"/>
  <c r="D162" i="38" l="1"/>
  <c r="C162" i="38"/>
  <c r="D65" i="38"/>
  <c r="C65" i="38"/>
  <c r="D99" i="39"/>
  <c r="C99" i="39"/>
  <c r="J57" i="6"/>
  <c r="K57" i="6" s="1"/>
  <c r="E57" i="6" s="1"/>
  <c r="K53" i="6"/>
  <c r="E53" i="6" s="1"/>
  <c r="J47" i="6"/>
  <c r="K47" i="6" s="1"/>
  <c r="E47" i="6" s="1"/>
  <c r="K58" i="6"/>
  <c r="K56" i="6"/>
  <c r="K55" i="6"/>
  <c r="E55" i="6" s="1"/>
  <c r="K52" i="6"/>
  <c r="E52" i="6" s="1"/>
  <c r="K50" i="6"/>
  <c r="K49" i="6"/>
  <c r="K48" i="6"/>
  <c r="K46" i="6"/>
  <c r="K45" i="6"/>
  <c r="K44" i="6"/>
  <c r="K43" i="6"/>
  <c r="K42" i="6"/>
  <c r="E56" i="6" l="1"/>
  <c r="E46" i="6"/>
  <c r="E48" i="6"/>
  <c r="I41" i="6"/>
  <c r="K41" i="6" s="1"/>
  <c r="E41" i="6" s="1"/>
  <c r="I51" i="6"/>
  <c r="K51" i="6" s="1"/>
  <c r="E51" i="6" s="1"/>
  <c r="E44" i="6"/>
  <c r="E45" i="6"/>
  <c r="E42" i="6"/>
  <c r="E50" i="6"/>
  <c r="E58" i="6"/>
  <c r="E43" i="6"/>
  <c r="G99" i="39"/>
  <c r="G65" i="38"/>
  <c r="G162" i="38"/>
  <c r="E49" i="6"/>
  <c r="E68" i="9" l="1"/>
  <c r="E69" i="9"/>
  <c r="E66" i="9"/>
  <c r="E67" i="9"/>
  <c r="E65" i="9"/>
  <c r="E46" i="9"/>
  <c r="E47" i="9"/>
  <c r="E48" i="9"/>
  <c r="E49" i="9"/>
  <c r="E51" i="9"/>
  <c r="E52" i="9"/>
  <c r="E45" i="9"/>
  <c r="E37" i="9"/>
  <c r="E38" i="9"/>
  <c r="L46" i="2"/>
  <c r="L45" i="2"/>
  <c r="Q167" i="38"/>
  <c r="Q173" i="38" s="1"/>
  <c r="P167" i="38"/>
  <c r="P173" i="38" s="1"/>
  <c r="O167" i="38"/>
  <c r="O173" i="38" s="1"/>
  <c r="N167" i="38"/>
  <c r="N173" i="38" s="1"/>
  <c r="M167" i="38"/>
  <c r="Q68" i="38"/>
  <c r="O68" i="38"/>
  <c r="N68" i="38"/>
  <c r="P68" i="38"/>
  <c r="M68" i="38"/>
  <c r="Q23" i="38"/>
  <c r="P23" i="38"/>
  <c r="O23" i="38"/>
  <c r="N23" i="38"/>
  <c r="M23" i="38"/>
  <c r="E62" i="9" l="1"/>
  <c r="G25" i="5"/>
  <c r="G27" i="5"/>
  <c r="M173" i="38"/>
  <c r="G35" i="5"/>
  <c r="G33" i="5"/>
  <c r="E39" i="9"/>
  <c r="D61" i="38"/>
  <c r="F86" i="35" l="1"/>
  <c r="I39" i="52" l="1"/>
  <c r="E39" i="52"/>
  <c r="I38" i="52"/>
  <c r="E38" i="52"/>
  <c r="I37" i="52"/>
  <c r="E37" i="52"/>
  <c r="I36" i="52"/>
  <c r="E36" i="52"/>
  <c r="I35" i="52"/>
  <c r="E35" i="52"/>
  <c r="I34" i="52"/>
  <c r="E34" i="52"/>
  <c r="I33" i="52"/>
  <c r="E33" i="52"/>
  <c r="I32" i="52"/>
  <c r="E32" i="52"/>
  <c r="I31" i="52"/>
  <c r="E31" i="52"/>
  <c r="I27" i="52"/>
  <c r="E27" i="52"/>
  <c r="I26" i="52"/>
  <c r="E26" i="52"/>
  <c r="I25" i="52"/>
  <c r="E25" i="52"/>
  <c r="I24" i="52"/>
  <c r="E24" i="52"/>
  <c r="I23" i="52"/>
  <c r="E23" i="52"/>
  <c r="I22" i="52"/>
  <c r="E22" i="52"/>
  <c r="I21" i="52"/>
  <c r="E21" i="52"/>
  <c r="I20" i="52"/>
  <c r="E20" i="52"/>
  <c r="I19" i="52"/>
  <c r="E19" i="52"/>
  <c r="K23" i="52" l="1"/>
  <c r="K27" i="52"/>
  <c r="K34" i="52"/>
  <c r="K20" i="52"/>
  <c r="K31" i="52"/>
  <c r="K35" i="52"/>
  <c r="K39" i="52"/>
  <c r="K38" i="52"/>
  <c r="K19" i="52"/>
  <c r="K26" i="52"/>
  <c r="K21" i="52"/>
  <c r="K25" i="52"/>
  <c r="K32" i="52"/>
  <c r="K37" i="52"/>
  <c r="K33" i="52"/>
  <c r="K22" i="52"/>
  <c r="K24" i="52"/>
  <c r="K36" i="52"/>
  <c r="G44" i="48"/>
  <c r="A8" i="50" l="1"/>
  <c r="B39" i="50"/>
  <c r="B40" i="50" s="1"/>
  <c r="B41" i="50" s="1"/>
  <c r="B42" i="50" s="1"/>
  <c r="B43" i="50" s="1"/>
  <c r="B44" i="50" s="1"/>
  <c r="B45" i="50" s="1"/>
  <c r="B46" i="50" s="1"/>
  <c r="B47" i="50" s="1"/>
  <c r="B48" i="50" s="1"/>
  <c r="B49" i="50" s="1"/>
  <c r="B50" i="50" s="1"/>
  <c r="B36" i="50"/>
  <c r="B21" i="50"/>
  <c r="B22" i="50" s="1"/>
  <c r="B23" i="50" s="1"/>
  <c r="B24" i="50" s="1"/>
  <c r="B25" i="50" s="1"/>
  <c r="B26" i="50" s="1"/>
  <c r="B27" i="50" s="1"/>
  <c r="B28" i="50" s="1"/>
  <c r="B29" i="50" s="1"/>
  <c r="B30" i="50" s="1"/>
  <c r="B31" i="50" s="1"/>
  <c r="B32" i="50" s="1"/>
  <c r="F15" i="50"/>
  <c r="F15" i="49"/>
  <c r="B39" i="49"/>
  <c r="B40" i="49" s="1"/>
  <c r="B41" i="49" s="1"/>
  <c r="B42" i="49" s="1"/>
  <c r="B43" i="49" s="1"/>
  <c r="B44" i="49" s="1"/>
  <c r="B45" i="49" s="1"/>
  <c r="B46" i="49" s="1"/>
  <c r="B47" i="49" s="1"/>
  <c r="B48" i="49" s="1"/>
  <c r="B49" i="49" s="1"/>
  <c r="B50" i="49" s="1"/>
  <c r="B36" i="49"/>
  <c r="B21" i="49"/>
  <c r="B22" i="49" s="1"/>
  <c r="B23" i="49" s="1"/>
  <c r="B24" i="49" s="1"/>
  <c r="B25" i="49" s="1"/>
  <c r="B26" i="49" s="1"/>
  <c r="B27" i="49" s="1"/>
  <c r="B28" i="49" s="1"/>
  <c r="B29" i="49" s="1"/>
  <c r="B30" i="49" s="1"/>
  <c r="B31" i="49" s="1"/>
  <c r="B32" i="49" s="1"/>
  <c r="A8" i="49"/>
  <c r="B39" i="47"/>
  <c r="B40" i="47" s="1"/>
  <c r="B41" i="47" s="1"/>
  <c r="B42" i="47" s="1"/>
  <c r="B43" i="47" s="1"/>
  <c r="B44" i="47" s="1"/>
  <c r="B45" i="47" s="1"/>
  <c r="B46" i="47" s="1"/>
  <c r="B47" i="47" s="1"/>
  <c r="B48" i="47" s="1"/>
  <c r="B49" i="47" s="1"/>
  <c r="B50" i="47" s="1"/>
  <c r="B36" i="47"/>
  <c r="B21" i="47"/>
  <c r="B22" i="47" s="1"/>
  <c r="B23" i="47" s="1"/>
  <c r="B24" i="47" s="1"/>
  <c r="B25" i="47" s="1"/>
  <c r="B26" i="47" s="1"/>
  <c r="B27" i="47" s="1"/>
  <c r="B28" i="47" s="1"/>
  <c r="B29" i="47" s="1"/>
  <c r="B30" i="47" s="1"/>
  <c r="B31" i="47" s="1"/>
  <c r="B32" i="47" s="1"/>
  <c r="A8" i="47"/>
  <c r="H251" i="2" l="1"/>
  <c r="I52" i="30" l="1"/>
  <c r="I53" i="30"/>
  <c r="I54" i="30"/>
  <c r="E49" i="30"/>
  <c r="J878" i="13" l="1"/>
  <c r="J791" i="13"/>
  <c r="J704" i="13"/>
  <c r="J617" i="13"/>
  <c r="J530" i="13"/>
  <c r="J443" i="13"/>
  <c r="J356" i="13"/>
  <c r="J269" i="13"/>
  <c r="J182" i="13"/>
  <c r="O60" i="51" l="1"/>
  <c r="N60" i="51"/>
  <c r="L60" i="51"/>
  <c r="K60" i="51"/>
  <c r="J60" i="51"/>
  <c r="I60" i="51"/>
  <c r="B60" i="51"/>
  <c r="M60" i="51"/>
  <c r="P55" i="51"/>
  <c r="P46" i="51"/>
  <c r="Q45" i="51"/>
  <c r="P44" i="51"/>
  <c r="P43" i="51"/>
  <c r="Q42" i="51"/>
  <c r="Q41" i="51"/>
  <c r="P40" i="51"/>
  <c r="O35" i="51"/>
  <c r="N35" i="51"/>
  <c r="L35" i="51"/>
  <c r="K35" i="51"/>
  <c r="J35" i="51"/>
  <c r="I35" i="51"/>
  <c r="B35" i="51"/>
  <c r="M35" i="51"/>
  <c r="P30" i="51"/>
  <c r="P21" i="51"/>
  <c r="Q20" i="51"/>
  <c r="P19" i="51"/>
  <c r="P18" i="51"/>
  <c r="Q17" i="51"/>
  <c r="Q16" i="51"/>
  <c r="P15" i="51"/>
  <c r="Q14" i="51"/>
  <c r="P13" i="51"/>
  <c r="Q60" i="51" l="1"/>
  <c r="Q35" i="51"/>
  <c r="R11" i="51"/>
  <c r="P56" i="51"/>
  <c r="P60" i="51" s="1"/>
  <c r="P31" i="51"/>
  <c r="P35" i="51" s="1"/>
  <c r="E20" i="38" l="1"/>
  <c r="E19" i="38"/>
  <c r="P109" i="39" l="1"/>
  <c r="Q109" i="39"/>
  <c r="R109" i="39"/>
  <c r="S109" i="39"/>
  <c r="Y109" i="39"/>
  <c r="C96" i="39"/>
  <c r="D96" i="39"/>
  <c r="C97" i="39"/>
  <c r="D97" i="39"/>
  <c r="C100" i="39"/>
  <c r="D100" i="39"/>
  <c r="C101" i="39"/>
  <c r="D101" i="39"/>
  <c r="C102" i="39"/>
  <c r="D102" i="39"/>
  <c r="C103" i="39"/>
  <c r="D103" i="39"/>
  <c r="D95" i="39"/>
  <c r="C95" i="39"/>
  <c r="G103" i="39" l="1"/>
  <c r="G101" i="39"/>
  <c r="G96" i="39"/>
  <c r="G102" i="39"/>
  <c r="G97" i="39"/>
  <c r="G42" i="5"/>
  <c r="G100" i="39"/>
  <c r="G95" i="39"/>
  <c r="E42" i="5"/>
  <c r="D21" i="38"/>
  <c r="E18" i="5" l="1"/>
  <c r="G18" i="5"/>
  <c r="G34" i="5"/>
  <c r="D171" i="38"/>
  <c r="C171" i="38"/>
  <c r="C160" i="38"/>
  <c r="D160" i="38"/>
  <c r="C161" i="38"/>
  <c r="D161" i="38"/>
  <c r="C163" i="38"/>
  <c r="D163" i="38"/>
  <c r="C164" i="38"/>
  <c r="D164" i="38"/>
  <c r="D158" i="38"/>
  <c r="C158" i="38"/>
  <c r="C62" i="38"/>
  <c r="D62" i="38"/>
  <c r="C64" i="38"/>
  <c r="D64" i="38"/>
  <c r="C61" i="38"/>
  <c r="N189" i="38"/>
  <c r="O189" i="38"/>
  <c r="G52" i="5" s="1"/>
  <c r="P189" i="38"/>
  <c r="Q189" i="38"/>
  <c r="T189" i="38"/>
  <c r="U189" i="38"/>
  <c r="E52" i="5" s="1"/>
  <c r="V189" i="38"/>
  <c r="W189" i="38"/>
  <c r="T167" i="38"/>
  <c r="U167" i="38"/>
  <c r="V167" i="38"/>
  <c r="V173" i="38" s="1"/>
  <c r="W167" i="38"/>
  <c r="W173" i="38" s="1"/>
  <c r="U68" i="38"/>
  <c r="W68" i="38"/>
  <c r="T23" i="38"/>
  <c r="W23" i="38"/>
  <c r="C21" i="38"/>
  <c r="G163" i="38" l="1"/>
  <c r="T173" i="38"/>
  <c r="U173" i="38"/>
  <c r="G158" i="38"/>
  <c r="G160" i="38"/>
  <c r="G26" i="5"/>
  <c r="G161" i="38"/>
  <c r="G62" i="38"/>
  <c r="G61" i="38"/>
  <c r="G64" i="38"/>
  <c r="G164" i="38"/>
  <c r="I37" i="30"/>
  <c r="I36" i="30"/>
  <c r="I35" i="30"/>
  <c r="I34" i="30"/>
  <c r="E85" i="30"/>
  <c r="E28" i="30"/>
  <c r="E15" i="30"/>
  <c r="O944" i="13" l="1"/>
  <c r="M944" i="13"/>
  <c r="O943" i="13"/>
  <c r="M943" i="13"/>
  <c r="O942" i="13"/>
  <c r="M942" i="13"/>
  <c r="O941" i="13"/>
  <c r="M941" i="13"/>
  <c r="O940" i="13"/>
  <c r="M940" i="13"/>
  <c r="O939" i="13"/>
  <c r="M939" i="13"/>
  <c r="O938" i="13"/>
  <c r="M938" i="13"/>
  <c r="O937" i="13"/>
  <c r="M937" i="13"/>
  <c r="O936" i="13"/>
  <c r="M936" i="13"/>
  <c r="O935" i="13"/>
  <c r="M935" i="13"/>
  <c r="O934" i="13"/>
  <c r="M934" i="13"/>
  <c r="O933" i="13"/>
  <c r="M933" i="13"/>
  <c r="O932" i="13"/>
  <c r="M932" i="13"/>
  <c r="O931" i="13"/>
  <c r="M931" i="13"/>
  <c r="O930" i="13"/>
  <c r="M930" i="13"/>
  <c r="O929" i="13"/>
  <c r="M929" i="13"/>
  <c r="O928" i="13"/>
  <c r="M928" i="13"/>
  <c r="O927" i="13"/>
  <c r="M927" i="13"/>
  <c r="O926" i="13"/>
  <c r="M926" i="13"/>
  <c r="O925" i="13"/>
  <c r="M925" i="13"/>
  <c r="O924" i="13"/>
  <c r="M924" i="13"/>
  <c r="O923" i="13"/>
  <c r="M923" i="13"/>
  <c r="O922" i="13"/>
  <c r="M922" i="13"/>
  <c r="O921" i="13"/>
  <c r="M921" i="13"/>
  <c r="O920" i="13"/>
  <c r="M920" i="13"/>
  <c r="O919" i="13"/>
  <c r="M919" i="13"/>
  <c r="O918" i="13"/>
  <c r="M918" i="13"/>
  <c r="O917" i="13"/>
  <c r="M917" i="13"/>
  <c r="O916" i="13"/>
  <c r="M916" i="13"/>
  <c r="O915" i="13"/>
  <c r="M915" i="13"/>
  <c r="O914" i="13"/>
  <c r="M914" i="13"/>
  <c r="O913" i="13"/>
  <c r="M913" i="13"/>
  <c r="O912" i="13"/>
  <c r="M912" i="13"/>
  <c r="O911" i="13"/>
  <c r="M911" i="13"/>
  <c r="O910" i="13"/>
  <c r="M910" i="13"/>
  <c r="O909" i="13"/>
  <c r="M909" i="13"/>
  <c r="O908" i="13"/>
  <c r="M908" i="13"/>
  <c r="O907" i="13"/>
  <c r="M907" i="13"/>
  <c r="O906" i="13"/>
  <c r="M906" i="13"/>
  <c r="O905" i="13"/>
  <c r="M905" i="13"/>
  <c r="O904" i="13"/>
  <c r="M904" i="13"/>
  <c r="O903" i="13"/>
  <c r="M903" i="13"/>
  <c r="O902" i="13"/>
  <c r="M902" i="13"/>
  <c r="O901" i="13"/>
  <c r="M901" i="13"/>
  <c r="O900" i="13"/>
  <c r="M900" i="13"/>
  <c r="O899" i="13"/>
  <c r="M899" i="13"/>
  <c r="O898" i="13"/>
  <c r="M898" i="13"/>
  <c r="O897" i="13"/>
  <c r="M897" i="13"/>
  <c r="O896" i="13"/>
  <c r="M896" i="13"/>
  <c r="O895" i="13"/>
  <c r="M895" i="13"/>
  <c r="O894" i="13"/>
  <c r="M894" i="13"/>
  <c r="O893" i="13"/>
  <c r="M893" i="13"/>
  <c r="O885" i="13"/>
  <c r="M885" i="13"/>
  <c r="D885" i="13"/>
  <c r="C885" i="13"/>
  <c r="C886" i="13" s="1"/>
  <c r="C887" i="13" s="1"/>
  <c r="C888" i="13" s="1"/>
  <c r="C889" i="13" s="1"/>
  <c r="C890" i="13" s="1"/>
  <c r="C891" i="13" s="1"/>
  <c r="C892" i="13" s="1"/>
  <c r="C893" i="13" s="1"/>
  <c r="C894" i="13" s="1"/>
  <c r="C895" i="13" s="1"/>
  <c r="C896" i="13" s="1"/>
  <c r="C897" i="13" s="1"/>
  <c r="C898" i="13" s="1"/>
  <c r="C899" i="13" s="1"/>
  <c r="C900" i="13" s="1"/>
  <c r="C901" i="13" s="1"/>
  <c r="C902" i="13" s="1"/>
  <c r="C903" i="13" s="1"/>
  <c r="C904" i="13" s="1"/>
  <c r="C905" i="13" s="1"/>
  <c r="C906" i="13" s="1"/>
  <c r="C907" i="13" s="1"/>
  <c r="C908" i="13" s="1"/>
  <c r="C909" i="13" s="1"/>
  <c r="C910" i="13" s="1"/>
  <c r="C911" i="13" s="1"/>
  <c r="C912" i="13" s="1"/>
  <c r="C913" i="13" s="1"/>
  <c r="C914" i="13" s="1"/>
  <c r="L880" i="13"/>
  <c r="L872" i="13"/>
  <c r="P866" i="13"/>
  <c r="O866" i="13"/>
  <c r="O857" i="13"/>
  <c r="M857" i="13"/>
  <c r="O856" i="13"/>
  <c r="M856" i="13"/>
  <c r="O855" i="13"/>
  <c r="M855" i="13"/>
  <c r="O854" i="13"/>
  <c r="M854" i="13"/>
  <c r="O853" i="13"/>
  <c r="M853" i="13"/>
  <c r="O852" i="13"/>
  <c r="M852" i="13"/>
  <c r="O851" i="13"/>
  <c r="M851" i="13"/>
  <c r="O850" i="13"/>
  <c r="M850" i="13"/>
  <c r="O849" i="13"/>
  <c r="M849" i="13"/>
  <c r="O848" i="13"/>
  <c r="M848" i="13"/>
  <c r="O847" i="13"/>
  <c r="M847" i="13"/>
  <c r="O846" i="13"/>
  <c r="M846" i="13"/>
  <c r="O845" i="13"/>
  <c r="M845" i="13"/>
  <c r="O844" i="13"/>
  <c r="M844" i="13"/>
  <c r="O843" i="13"/>
  <c r="M843" i="13"/>
  <c r="O842" i="13"/>
  <c r="M842" i="13"/>
  <c r="O841" i="13"/>
  <c r="M841" i="13"/>
  <c r="O840" i="13"/>
  <c r="M840" i="13"/>
  <c r="O839" i="13"/>
  <c r="M839" i="13"/>
  <c r="O838" i="13"/>
  <c r="M838" i="13"/>
  <c r="O837" i="13"/>
  <c r="M837" i="13"/>
  <c r="O836" i="13"/>
  <c r="M836" i="13"/>
  <c r="O835" i="13"/>
  <c r="M835" i="13"/>
  <c r="O834" i="13"/>
  <c r="M834" i="13"/>
  <c r="O833" i="13"/>
  <c r="M833" i="13"/>
  <c r="O832" i="13"/>
  <c r="M832" i="13"/>
  <c r="O831" i="13"/>
  <c r="M831" i="13"/>
  <c r="O830" i="13"/>
  <c r="M830" i="13"/>
  <c r="O829" i="13"/>
  <c r="M829" i="13"/>
  <c r="O828" i="13"/>
  <c r="M828" i="13"/>
  <c r="O827" i="13"/>
  <c r="M827" i="13"/>
  <c r="O826" i="13"/>
  <c r="M826" i="13"/>
  <c r="O825" i="13"/>
  <c r="M825" i="13"/>
  <c r="O824" i="13"/>
  <c r="M824" i="13"/>
  <c r="O823" i="13"/>
  <c r="M823" i="13"/>
  <c r="O822" i="13"/>
  <c r="M822" i="13"/>
  <c r="O821" i="13"/>
  <c r="M821" i="13"/>
  <c r="O820" i="13"/>
  <c r="M820" i="13"/>
  <c r="O819" i="13"/>
  <c r="M819" i="13"/>
  <c r="O818" i="13"/>
  <c r="M818" i="13"/>
  <c r="O817" i="13"/>
  <c r="M817" i="13"/>
  <c r="O816" i="13"/>
  <c r="M816" i="13"/>
  <c r="O815" i="13"/>
  <c r="M815" i="13"/>
  <c r="O814" i="13"/>
  <c r="M814" i="13"/>
  <c r="O813" i="13"/>
  <c r="M813" i="13"/>
  <c r="O812" i="13"/>
  <c r="M812" i="13"/>
  <c r="O811" i="13"/>
  <c r="M811" i="13"/>
  <c r="O810" i="13"/>
  <c r="M810" i="13"/>
  <c r="O809" i="13"/>
  <c r="M809" i="13"/>
  <c r="O808" i="13"/>
  <c r="M808" i="13"/>
  <c r="O807" i="13"/>
  <c r="M807" i="13"/>
  <c r="D798" i="13"/>
  <c r="C798" i="13"/>
  <c r="C799" i="13" s="1"/>
  <c r="C800" i="13" s="1"/>
  <c r="C801" i="13" s="1"/>
  <c r="C802" i="13" s="1"/>
  <c r="C803" i="13" s="1"/>
  <c r="C804" i="13" s="1"/>
  <c r="C805" i="13" s="1"/>
  <c r="C806" i="13" s="1"/>
  <c r="C807" i="13" s="1"/>
  <c r="C808" i="13" s="1"/>
  <c r="C809" i="13" s="1"/>
  <c r="C810" i="13" s="1"/>
  <c r="C811" i="13" s="1"/>
  <c r="C812" i="13" s="1"/>
  <c r="C813" i="13" s="1"/>
  <c r="C814" i="13" s="1"/>
  <c r="C815" i="13" s="1"/>
  <c r="C816" i="13" s="1"/>
  <c r="C817" i="13" s="1"/>
  <c r="C818" i="13" s="1"/>
  <c r="C819" i="13" s="1"/>
  <c r="C820" i="13" s="1"/>
  <c r="C821" i="13" s="1"/>
  <c r="C822" i="13" s="1"/>
  <c r="C823" i="13" s="1"/>
  <c r="C824" i="13" s="1"/>
  <c r="C825" i="13" s="1"/>
  <c r="C826" i="13" s="1"/>
  <c r="C827" i="13" s="1"/>
  <c r="L793" i="13"/>
  <c r="L785" i="13"/>
  <c r="P779" i="13"/>
  <c r="O779" i="13"/>
  <c r="P903" i="13" l="1"/>
  <c r="P935" i="13"/>
  <c r="P911" i="13"/>
  <c r="P919" i="13"/>
  <c r="P904" i="13"/>
  <c r="P944" i="13"/>
  <c r="P905" i="13"/>
  <c r="P929" i="13"/>
  <c r="P937" i="13"/>
  <c r="P941" i="13"/>
  <c r="P898" i="13"/>
  <c r="P902" i="13"/>
  <c r="P894" i="13"/>
  <c r="P910" i="13"/>
  <c r="P918" i="13"/>
  <c r="P926" i="13"/>
  <c r="P942" i="13"/>
  <c r="P895" i="13"/>
  <c r="P922" i="13"/>
  <c r="P930" i="13"/>
  <c r="P934" i="13"/>
  <c r="P896" i="13"/>
  <c r="P915" i="13"/>
  <c r="P923" i="13"/>
  <c r="P897" i="13"/>
  <c r="P908" i="13"/>
  <c r="P912" i="13"/>
  <c r="P920" i="13"/>
  <c r="P928" i="13"/>
  <c r="P936" i="13"/>
  <c r="P913" i="13"/>
  <c r="P924" i="13"/>
  <c r="P931" i="13"/>
  <c r="P900" i="13"/>
  <c r="P907" i="13"/>
  <c r="P914" i="13"/>
  <c r="P921" i="13"/>
  <c r="P925" i="13"/>
  <c r="P899" i="13"/>
  <c r="P938" i="13"/>
  <c r="P939" i="13"/>
  <c r="P943" i="13"/>
  <c r="P933" i="13"/>
  <c r="P906" i="13"/>
  <c r="P927" i="13"/>
  <c r="C915" i="13"/>
  <c r="C916" i="13" s="1"/>
  <c r="C917" i="13" s="1"/>
  <c r="C918" i="13" s="1"/>
  <c r="C919" i="13" s="1"/>
  <c r="C920" i="13" s="1"/>
  <c r="C921" i="13" s="1"/>
  <c r="C922" i="13" s="1"/>
  <c r="C923" i="13" s="1"/>
  <c r="C924" i="13" s="1"/>
  <c r="C925" i="13" s="1"/>
  <c r="C926" i="13" s="1"/>
  <c r="C927" i="13" s="1"/>
  <c r="C928" i="13" s="1"/>
  <c r="C929" i="13" s="1"/>
  <c r="C930" i="13" s="1"/>
  <c r="C931" i="13" s="1"/>
  <c r="C932" i="13" s="1"/>
  <c r="C933" i="13" s="1"/>
  <c r="C934" i="13" s="1"/>
  <c r="C935" i="13" s="1"/>
  <c r="C936" i="13" s="1"/>
  <c r="C937" i="13" s="1"/>
  <c r="C938" i="13" s="1"/>
  <c r="C939" i="13" s="1"/>
  <c r="C940" i="13" s="1"/>
  <c r="C941" i="13" s="1"/>
  <c r="C942" i="13" s="1"/>
  <c r="C943" i="13" s="1"/>
  <c r="C944" i="13" s="1"/>
  <c r="M873" i="13"/>
  <c r="N873" i="13"/>
  <c r="P901" i="13"/>
  <c r="P932" i="13"/>
  <c r="P885" i="13"/>
  <c r="P893" i="13"/>
  <c r="P917" i="13"/>
  <c r="P940" i="13"/>
  <c r="P916" i="13"/>
  <c r="P909" i="13"/>
  <c r="P820" i="13"/>
  <c r="P829" i="13"/>
  <c r="P841" i="13"/>
  <c r="P831" i="13"/>
  <c r="P835" i="13"/>
  <c r="P839" i="13"/>
  <c r="P843" i="13"/>
  <c r="P824" i="13"/>
  <c r="P828" i="13"/>
  <c r="P832" i="13"/>
  <c r="P836" i="13"/>
  <c r="P840" i="13"/>
  <c r="P844" i="13"/>
  <c r="P848" i="13"/>
  <c r="P815" i="13"/>
  <c r="P850" i="13"/>
  <c r="P853" i="13"/>
  <c r="P857" i="13"/>
  <c r="P808" i="13"/>
  <c r="P812" i="13"/>
  <c r="P816" i="13"/>
  <c r="P852" i="13"/>
  <c r="P856" i="13"/>
  <c r="P847" i="13"/>
  <c r="P823" i="13"/>
  <c r="P851" i="13"/>
  <c r="P813" i="13"/>
  <c r="P827" i="13"/>
  <c r="P837" i="13"/>
  <c r="P855" i="13"/>
  <c r="P819" i="13"/>
  <c r="P807" i="13"/>
  <c r="P821" i="13"/>
  <c r="P842" i="13"/>
  <c r="P849" i="13"/>
  <c r="P838" i="13"/>
  <c r="P845" i="13"/>
  <c r="P811" i="13"/>
  <c r="N786" i="13"/>
  <c r="M786" i="13"/>
  <c r="C828" i="13"/>
  <c r="C829" i="13" s="1"/>
  <c r="C830" i="13" s="1"/>
  <c r="C831" i="13" s="1"/>
  <c r="C832" i="13" s="1"/>
  <c r="C833" i="13" s="1"/>
  <c r="C834" i="13" s="1"/>
  <c r="C835" i="13" s="1"/>
  <c r="C836" i="13" s="1"/>
  <c r="C837" i="13" s="1"/>
  <c r="C838" i="13" s="1"/>
  <c r="C839" i="13" s="1"/>
  <c r="C840" i="13" s="1"/>
  <c r="C841" i="13" s="1"/>
  <c r="C842" i="13" s="1"/>
  <c r="C843" i="13" s="1"/>
  <c r="C844" i="13" s="1"/>
  <c r="C845" i="13" s="1"/>
  <c r="C846" i="13" s="1"/>
  <c r="C847" i="13" s="1"/>
  <c r="C848" i="13" s="1"/>
  <c r="C849" i="13" s="1"/>
  <c r="C850" i="13" s="1"/>
  <c r="C851" i="13" s="1"/>
  <c r="C852" i="13" s="1"/>
  <c r="C853" i="13" s="1"/>
  <c r="C854" i="13" s="1"/>
  <c r="C855" i="13" s="1"/>
  <c r="C856" i="13" s="1"/>
  <c r="C857" i="13" s="1"/>
  <c r="P810" i="13"/>
  <c r="P825" i="13"/>
  <c r="P834" i="13"/>
  <c r="P809" i="13"/>
  <c r="P818" i="13"/>
  <c r="P830" i="13"/>
  <c r="P833" i="13"/>
  <c r="P846" i="13"/>
  <c r="P822" i="13"/>
  <c r="P814" i="13"/>
  <c r="P817" i="13"/>
  <c r="P826" i="13"/>
  <c r="P854" i="13"/>
  <c r="O873" i="13" l="1"/>
  <c r="O786" i="13"/>
  <c r="D63" i="6"/>
  <c r="G63" i="6"/>
  <c r="J63" i="6" l="1"/>
  <c r="I63" i="6"/>
  <c r="E63" i="6"/>
  <c r="K63" i="6"/>
  <c r="O770" i="13" l="1"/>
  <c r="M770" i="13"/>
  <c r="O769" i="13"/>
  <c r="M769" i="13"/>
  <c r="O768" i="13"/>
  <c r="M768" i="13"/>
  <c r="O767" i="13"/>
  <c r="M767" i="13"/>
  <c r="O766" i="13"/>
  <c r="M766" i="13"/>
  <c r="O765" i="13"/>
  <c r="M765" i="13"/>
  <c r="O764" i="13"/>
  <c r="M764" i="13"/>
  <c r="O763" i="13"/>
  <c r="M763" i="13"/>
  <c r="O762" i="13"/>
  <c r="M762" i="13"/>
  <c r="O761" i="13"/>
  <c r="M761" i="13"/>
  <c r="O760" i="13"/>
  <c r="M760" i="13"/>
  <c r="O759" i="13"/>
  <c r="M759" i="13"/>
  <c r="O758" i="13"/>
  <c r="M758" i="13"/>
  <c r="O757" i="13"/>
  <c r="M757" i="13"/>
  <c r="O756" i="13"/>
  <c r="M756" i="13"/>
  <c r="O755" i="13"/>
  <c r="M755" i="13"/>
  <c r="O754" i="13"/>
  <c r="M754" i="13"/>
  <c r="O753" i="13"/>
  <c r="M753" i="13"/>
  <c r="O752" i="13"/>
  <c r="M752" i="13"/>
  <c r="O751" i="13"/>
  <c r="M751" i="13"/>
  <c r="O750" i="13"/>
  <c r="M750" i="13"/>
  <c r="O749" i="13"/>
  <c r="M749" i="13"/>
  <c r="O748" i="13"/>
  <c r="M748" i="13"/>
  <c r="O747" i="13"/>
  <c r="M747" i="13"/>
  <c r="O746" i="13"/>
  <c r="M746" i="13"/>
  <c r="O745" i="13"/>
  <c r="M745" i="13"/>
  <c r="O744" i="13"/>
  <c r="M744" i="13"/>
  <c r="O743" i="13"/>
  <c r="M743" i="13"/>
  <c r="O742" i="13"/>
  <c r="M742" i="13"/>
  <c r="O741" i="13"/>
  <c r="M741" i="13"/>
  <c r="O740" i="13"/>
  <c r="M740" i="13"/>
  <c r="O739" i="13"/>
  <c r="M739" i="13"/>
  <c r="O738" i="13"/>
  <c r="M738" i="13"/>
  <c r="O737" i="13"/>
  <c r="M737" i="13"/>
  <c r="O736" i="13"/>
  <c r="M736" i="13"/>
  <c r="O735" i="13"/>
  <c r="M735" i="13"/>
  <c r="O734" i="13"/>
  <c r="M734" i="13"/>
  <c r="O733" i="13"/>
  <c r="M733" i="13"/>
  <c r="O732" i="13"/>
  <c r="M732" i="13"/>
  <c r="O731" i="13"/>
  <c r="M731" i="13"/>
  <c r="O730" i="13"/>
  <c r="M730" i="13"/>
  <c r="O729" i="13"/>
  <c r="M729" i="13"/>
  <c r="O728" i="13"/>
  <c r="M728" i="13"/>
  <c r="O727" i="13"/>
  <c r="M727" i="13"/>
  <c r="O726" i="13"/>
  <c r="M726" i="13"/>
  <c r="O725" i="13"/>
  <c r="M725" i="13"/>
  <c r="O724" i="13"/>
  <c r="M724" i="13"/>
  <c r="O723" i="13"/>
  <c r="M723" i="13"/>
  <c r="O722" i="13"/>
  <c r="M722" i="13"/>
  <c r="O721" i="13"/>
  <c r="M721" i="13"/>
  <c r="O718" i="13"/>
  <c r="M718" i="13"/>
  <c r="O717" i="13"/>
  <c r="M717" i="13"/>
  <c r="O716" i="13"/>
  <c r="M716" i="13"/>
  <c r="O715" i="13"/>
  <c r="M715" i="13"/>
  <c r="O714" i="13"/>
  <c r="M714" i="13"/>
  <c r="D711" i="13"/>
  <c r="C711" i="13"/>
  <c r="C712" i="13" s="1"/>
  <c r="C713" i="13" s="1"/>
  <c r="C714" i="13" s="1"/>
  <c r="C715" i="13" s="1"/>
  <c r="C716" i="13" s="1"/>
  <c r="C717" i="13" s="1"/>
  <c r="C718" i="13" s="1"/>
  <c r="C719" i="13" s="1"/>
  <c r="C720" i="13" s="1"/>
  <c r="C721" i="13" s="1"/>
  <c r="C722" i="13" s="1"/>
  <c r="C723" i="13" s="1"/>
  <c r="C724" i="13" s="1"/>
  <c r="C725" i="13" s="1"/>
  <c r="C726" i="13" s="1"/>
  <c r="C727" i="13" s="1"/>
  <c r="C728" i="13" s="1"/>
  <c r="C729" i="13" s="1"/>
  <c r="C730" i="13" s="1"/>
  <c r="C731" i="13" s="1"/>
  <c r="C732" i="13" s="1"/>
  <c r="C733" i="13" s="1"/>
  <c r="C734" i="13" s="1"/>
  <c r="C735" i="13" s="1"/>
  <c r="C736" i="13" s="1"/>
  <c r="C737" i="13" s="1"/>
  <c r="C738" i="13" s="1"/>
  <c r="C739" i="13" s="1"/>
  <c r="C740" i="13" s="1"/>
  <c r="C741" i="13" s="1"/>
  <c r="C742" i="13" s="1"/>
  <c r="C743" i="13" s="1"/>
  <c r="C744" i="13" s="1"/>
  <c r="C745" i="13" s="1"/>
  <c r="C746" i="13" s="1"/>
  <c r="C747" i="13" s="1"/>
  <c r="C748" i="13" s="1"/>
  <c r="C749" i="13" s="1"/>
  <c r="C750" i="13" s="1"/>
  <c r="C751" i="13" s="1"/>
  <c r="C752" i="13" s="1"/>
  <c r="C753" i="13" s="1"/>
  <c r="C754" i="13" s="1"/>
  <c r="C755" i="13" s="1"/>
  <c r="C756" i="13" s="1"/>
  <c r="C757" i="13" s="1"/>
  <c r="C758" i="13" s="1"/>
  <c r="C759" i="13" s="1"/>
  <c r="C760" i="13" s="1"/>
  <c r="C761" i="13" s="1"/>
  <c r="C762" i="13" s="1"/>
  <c r="C763" i="13" s="1"/>
  <c r="C764" i="13" s="1"/>
  <c r="C765" i="13" s="1"/>
  <c r="C766" i="13" s="1"/>
  <c r="C767" i="13" s="1"/>
  <c r="C768" i="13" s="1"/>
  <c r="C769" i="13" s="1"/>
  <c r="C770" i="13" s="1"/>
  <c r="L706" i="13"/>
  <c r="L698" i="13"/>
  <c r="P692" i="13"/>
  <c r="O692" i="13"/>
  <c r="O683" i="13"/>
  <c r="M683" i="13"/>
  <c r="O682" i="13"/>
  <c r="M682" i="13"/>
  <c r="O681" i="13"/>
  <c r="M681" i="13"/>
  <c r="O680" i="13"/>
  <c r="M680" i="13"/>
  <c r="O679" i="13"/>
  <c r="M679" i="13"/>
  <c r="O678" i="13"/>
  <c r="M678" i="13"/>
  <c r="O677" i="13"/>
  <c r="M677" i="13"/>
  <c r="O676" i="13"/>
  <c r="M676" i="13"/>
  <c r="O675" i="13"/>
  <c r="M675" i="13"/>
  <c r="O674" i="13"/>
  <c r="M674" i="13"/>
  <c r="O673" i="13"/>
  <c r="M673" i="13"/>
  <c r="O672" i="13"/>
  <c r="M672" i="13"/>
  <c r="O671" i="13"/>
  <c r="M671" i="13"/>
  <c r="O670" i="13"/>
  <c r="M670" i="13"/>
  <c r="O669" i="13"/>
  <c r="M669" i="13"/>
  <c r="O668" i="13"/>
  <c r="M668" i="13"/>
  <c r="O667" i="13"/>
  <c r="M667" i="13"/>
  <c r="O666" i="13"/>
  <c r="M666" i="13"/>
  <c r="O665" i="13"/>
  <c r="M665" i="13"/>
  <c r="O664" i="13"/>
  <c r="M664" i="13"/>
  <c r="O663" i="13"/>
  <c r="M663" i="13"/>
  <c r="O662" i="13"/>
  <c r="M662" i="13"/>
  <c r="O661" i="13"/>
  <c r="M661" i="13"/>
  <c r="O660" i="13"/>
  <c r="M660" i="13"/>
  <c r="O659" i="13"/>
  <c r="M659" i="13"/>
  <c r="O658" i="13"/>
  <c r="M658" i="13"/>
  <c r="O657" i="13"/>
  <c r="M657" i="13"/>
  <c r="O656" i="13"/>
  <c r="M656" i="13"/>
  <c r="O655" i="13"/>
  <c r="M655" i="13"/>
  <c r="O654" i="13"/>
  <c r="M654" i="13"/>
  <c r="O653" i="13"/>
  <c r="M653" i="13"/>
  <c r="O652" i="13"/>
  <c r="M652" i="13"/>
  <c r="O651" i="13"/>
  <c r="M651" i="13"/>
  <c r="O650" i="13"/>
  <c r="M650" i="13"/>
  <c r="O649" i="13"/>
  <c r="M649" i="13"/>
  <c r="O648" i="13"/>
  <c r="M648" i="13"/>
  <c r="O647" i="13"/>
  <c r="M647" i="13"/>
  <c r="O646" i="13"/>
  <c r="M646" i="13"/>
  <c r="O645" i="13"/>
  <c r="M645" i="13"/>
  <c r="O644" i="13"/>
  <c r="M644" i="13"/>
  <c r="O643" i="13"/>
  <c r="M643" i="13"/>
  <c r="O642" i="13"/>
  <c r="M642" i="13"/>
  <c r="O641" i="13"/>
  <c r="M641" i="13"/>
  <c r="O640" i="13"/>
  <c r="M640" i="13"/>
  <c r="O639" i="13"/>
  <c r="M639" i="13"/>
  <c r="O638" i="13"/>
  <c r="M638" i="13"/>
  <c r="O637" i="13"/>
  <c r="M637" i="13"/>
  <c r="O636" i="13"/>
  <c r="M636" i="13"/>
  <c r="O635" i="13"/>
  <c r="M635" i="13"/>
  <c r="O634" i="13"/>
  <c r="M634" i="13"/>
  <c r="D624" i="13"/>
  <c r="C624" i="13"/>
  <c r="C625" i="13" s="1"/>
  <c r="C626" i="13" s="1"/>
  <c r="C627" i="13" s="1"/>
  <c r="C628" i="13" s="1"/>
  <c r="C629" i="13" s="1"/>
  <c r="C630" i="13" s="1"/>
  <c r="C631" i="13" s="1"/>
  <c r="C632" i="13" s="1"/>
  <c r="C633" i="13" s="1"/>
  <c r="C634" i="13" s="1"/>
  <c r="C635" i="13" s="1"/>
  <c r="C636" i="13" s="1"/>
  <c r="C637" i="13" s="1"/>
  <c r="C638" i="13" s="1"/>
  <c r="C639" i="13" s="1"/>
  <c r="C640" i="13" s="1"/>
  <c r="C641" i="13" s="1"/>
  <c r="C642" i="13" s="1"/>
  <c r="C643" i="13" s="1"/>
  <c r="C644" i="13" s="1"/>
  <c r="C645" i="13" s="1"/>
  <c r="C646" i="13" s="1"/>
  <c r="C647" i="13" s="1"/>
  <c r="C648" i="13" s="1"/>
  <c r="C649" i="13" s="1"/>
  <c r="C650" i="13" s="1"/>
  <c r="C651" i="13" s="1"/>
  <c r="C652" i="13" s="1"/>
  <c r="C653" i="13" s="1"/>
  <c r="L619" i="13"/>
  <c r="L611" i="13"/>
  <c r="P605" i="13"/>
  <c r="O605" i="13"/>
  <c r="O596" i="13"/>
  <c r="M596" i="13"/>
  <c r="O595" i="13"/>
  <c r="M595" i="13"/>
  <c r="O594" i="13"/>
  <c r="M594" i="13"/>
  <c r="O593" i="13"/>
  <c r="M593" i="13"/>
  <c r="O592" i="13"/>
  <c r="M592" i="13"/>
  <c r="O591" i="13"/>
  <c r="M591" i="13"/>
  <c r="O590" i="13"/>
  <c r="M590" i="13"/>
  <c r="O589" i="13"/>
  <c r="M589" i="13"/>
  <c r="O588" i="13"/>
  <c r="M588" i="13"/>
  <c r="O587" i="13"/>
  <c r="M587" i="13"/>
  <c r="O586" i="13"/>
  <c r="M586" i="13"/>
  <c r="O585" i="13"/>
  <c r="M585" i="13"/>
  <c r="O584" i="13"/>
  <c r="M584" i="13"/>
  <c r="O583" i="13"/>
  <c r="M583" i="13"/>
  <c r="O582" i="13"/>
  <c r="M582" i="13"/>
  <c r="O581" i="13"/>
  <c r="M581" i="13"/>
  <c r="O580" i="13"/>
  <c r="M580" i="13"/>
  <c r="O579" i="13"/>
  <c r="M579" i="13"/>
  <c r="O578" i="13"/>
  <c r="M578" i="13"/>
  <c r="O577" i="13"/>
  <c r="M577" i="13"/>
  <c r="O576" i="13"/>
  <c r="M576" i="13"/>
  <c r="O575" i="13"/>
  <c r="M575" i="13"/>
  <c r="O574" i="13"/>
  <c r="M574" i="13"/>
  <c r="O573" i="13"/>
  <c r="M573" i="13"/>
  <c r="O572" i="13"/>
  <c r="M572" i="13"/>
  <c r="O571" i="13"/>
  <c r="M571" i="13"/>
  <c r="O570" i="13"/>
  <c r="M570" i="13"/>
  <c r="O569" i="13"/>
  <c r="M569" i="13"/>
  <c r="O568" i="13"/>
  <c r="M568" i="13"/>
  <c r="O567" i="13"/>
  <c r="M567" i="13"/>
  <c r="O566" i="13"/>
  <c r="M566" i="13"/>
  <c r="O565" i="13"/>
  <c r="M565" i="13"/>
  <c r="O564" i="13"/>
  <c r="M564" i="13"/>
  <c r="O563" i="13"/>
  <c r="M563" i="13"/>
  <c r="O562" i="13"/>
  <c r="M562" i="13"/>
  <c r="O561" i="13"/>
  <c r="M561" i="13"/>
  <c r="O560" i="13"/>
  <c r="M560" i="13"/>
  <c r="O559" i="13"/>
  <c r="M559" i="13"/>
  <c r="O558" i="13"/>
  <c r="M558" i="13"/>
  <c r="O557" i="13"/>
  <c r="M557" i="13"/>
  <c r="O556" i="13"/>
  <c r="M556" i="13"/>
  <c r="O555" i="13"/>
  <c r="M555" i="13"/>
  <c r="O554" i="13"/>
  <c r="M554" i="13"/>
  <c r="O553" i="13"/>
  <c r="M553" i="13"/>
  <c r="O552" i="13"/>
  <c r="M552" i="13"/>
  <c r="O551" i="13"/>
  <c r="M551" i="13"/>
  <c r="O550" i="13"/>
  <c r="M550" i="13"/>
  <c r="O549" i="13"/>
  <c r="M549" i="13"/>
  <c r="O537" i="13"/>
  <c r="M537" i="13"/>
  <c r="D537" i="13"/>
  <c r="C537" i="13"/>
  <c r="C538" i="13" s="1"/>
  <c r="C539" i="13" s="1"/>
  <c r="C540" i="13" s="1"/>
  <c r="C541" i="13" s="1"/>
  <c r="C542" i="13" s="1"/>
  <c r="C543" i="13" s="1"/>
  <c r="C544" i="13" s="1"/>
  <c r="C545" i="13" s="1"/>
  <c r="C546" i="13" s="1"/>
  <c r="C547" i="13" s="1"/>
  <c r="C548" i="13" s="1"/>
  <c r="C549" i="13" s="1"/>
  <c r="C550" i="13" s="1"/>
  <c r="C551" i="13" s="1"/>
  <c r="C552" i="13" s="1"/>
  <c r="C553" i="13" s="1"/>
  <c r="C554" i="13" s="1"/>
  <c r="C555" i="13" s="1"/>
  <c r="C556" i="13" s="1"/>
  <c r="C557" i="13" s="1"/>
  <c r="C558" i="13" s="1"/>
  <c r="C559" i="13" s="1"/>
  <c r="C560" i="13" s="1"/>
  <c r="C561" i="13" s="1"/>
  <c r="C562" i="13" s="1"/>
  <c r="C563" i="13" s="1"/>
  <c r="C564" i="13" s="1"/>
  <c r="C565" i="13" s="1"/>
  <c r="C566" i="13" s="1"/>
  <c r="L532" i="13"/>
  <c r="L524" i="13"/>
  <c r="P518" i="13"/>
  <c r="O518" i="13"/>
  <c r="O509" i="13"/>
  <c r="M509" i="13"/>
  <c r="O508" i="13"/>
  <c r="M508" i="13"/>
  <c r="O507" i="13"/>
  <c r="M507" i="13"/>
  <c r="O506" i="13"/>
  <c r="M506" i="13"/>
  <c r="O505" i="13"/>
  <c r="M505" i="13"/>
  <c r="O504" i="13"/>
  <c r="M504" i="13"/>
  <c r="O503" i="13"/>
  <c r="M503" i="13"/>
  <c r="O502" i="13"/>
  <c r="M502" i="13"/>
  <c r="O501" i="13"/>
  <c r="M501" i="13"/>
  <c r="O500" i="13"/>
  <c r="M500" i="13"/>
  <c r="O499" i="13"/>
  <c r="M499" i="13"/>
  <c r="O498" i="13"/>
  <c r="M498" i="13"/>
  <c r="O497" i="13"/>
  <c r="M497" i="13"/>
  <c r="O496" i="13"/>
  <c r="M496" i="13"/>
  <c r="O495" i="13"/>
  <c r="M495" i="13"/>
  <c r="O494" i="13"/>
  <c r="M494" i="13"/>
  <c r="O493" i="13"/>
  <c r="M493" i="13"/>
  <c r="O492" i="13"/>
  <c r="M492" i="13"/>
  <c r="O491" i="13"/>
  <c r="M491" i="13"/>
  <c r="O490" i="13"/>
  <c r="M490" i="13"/>
  <c r="O489" i="13"/>
  <c r="M489" i="13"/>
  <c r="O488" i="13"/>
  <c r="M488" i="13"/>
  <c r="O487" i="13"/>
  <c r="M487" i="13"/>
  <c r="O486" i="13"/>
  <c r="M486" i="13"/>
  <c r="O485" i="13"/>
  <c r="M485" i="13"/>
  <c r="O484" i="13"/>
  <c r="M484" i="13"/>
  <c r="O483" i="13"/>
  <c r="M483" i="13"/>
  <c r="O482" i="13"/>
  <c r="M482" i="13"/>
  <c r="O481" i="13"/>
  <c r="M481" i="13"/>
  <c r="O480" i="13"/>
  <c r="M480" i="13"/>
  <c r="O479" i="13"/>
  <c r="M479" i="13"/>
  <c r="O478" i="13"/>
  <c r="M478" i="13"/>
  <c r="O477" i="13"/>
  <c r="M477" i="13"/>
  <c r="O476" i="13"/>
  <c r="M476" i="13"/>
  <c r="O475" i="13"/>
  <c r="M475" i="13"/>
  <c r="O474" i="13"/>
  <c r="M474" i="13"/>
  <c r="O473" i="13"/>
  <c r="M473" i="13"/>
  <c r="O472" i="13"/>
  <c r="M472" i="13"/>
  <c r="O471" i="13"/>
  <c r="M471" i="13"/>
  <c r="O470" i="13"/>
  <c r="M470" i="13"/>
  <c r="O469" i="13"/>
  <c r="M469" i="13"/>
  <c r="O468" i="13"/>
  <c r="M468" i="13"/>
  <c r="O467" i="13"/>
  <c r="M467" i="13"/>
  <c r="O466" i="13"/>
  <c r="M466" i="13"/>
  <c r="O465" i="13"/>
  <c r="M465" i="13"/>
  <c r="O464" i="13"/>
  <c r="M464" i="13"/>
  <c r="O463" i="13"/>
  <c r="M463" i="13"/>
  <c r="D450" i="13"/>
  <c r="C450" i="13"/>
  <c r="C451" i="13" s="1"/>
  <c r="C452" i="13" s="1"/>
  <c r="C453" i="13" s="1"/>
  <c r="C454" i="13" s="1"/>
  <c r="C455" i="13" s="1"/>
  <c r="C456" i="13" s="1"/>
  <c r="C457" i="13" s="1"/>
  <c r="C458" i="13" s="1"/>
  <c r="C459" i="13" s="1"/>
  <c r="C460" i="13" s="1"/>
  <c r="C461" i="13" s="1"/>
  <c r="C462" i="13" s="1"/>
  <c r="C463" i="13" s="1"/>
  <c r="C464" i="13" s="1"/>
  <c r="C465" i="13" s="1"/>
  <c r="C466" i="13" s="1"/>
  <c r="C467" i="13" s="1"/>
  <c r="C468" i="13" s="1"/>
  <c r="C469" i="13" s="1"/>
  <c r="C470" i="13" s="1"/>
  <c r="C471" i="13" s="1"/>
  <c r="C472" i="13" s="1"/>
  <c r="C473" i="13" s="1"/>
  <c r="C474" i="13" s="1"/>
  <c r="C475" i="13" s="1"/>
  <c r="C476" i="13" s="1"/>
  <c r="C477" i="13" s="1"/>
  <c r="C478" i="13" s="1"/>
  <c r="C479" i="13" s="1"/>
  <c r="L445" i="13"/>
  <c r="L437" i="13"/>
  <c r="P431" i="13"/>
  <c r="O431" i="13"/>
  <c r="O422" i="13"/>
  <c r="M422" i="13"/>
  <c r="O421" i="13"/>
  <c r="M421" i="13"/>
  <c r="O420" i="13"/>
  <c r="M420" i="13"/>
  <c r="O419" i="13"/>
  <c r="M419" i="13"/>
  <c r="O418" i="13"/>
  <c r="M418" i="13"/>
  <c r="O417" i="13"/>
  <c r="M417" i="13"/>
  <c r="O416" i="13"/>
  <c r="M416" i="13"/>
  <c r="O415" i="13"/>
  <c r="M415" i="13"/>
  <c r="O414" i="13"/>
  <c r="M414" i="13"/>
  <c r="O413" i="13"/>
  <c r="M413" i="13"/>
  <c r="O412" i="13"/>
  <c r="M412" i="13"/>
  <c r="O411" i="13"/>
  <c r="M411" i="13"/>
  <c r="O410" i="13"/>
  <c r="M410" i="13"/>
  <c r="O409" i="13"/>
  <c r="M409" i="13"/>
  <c r="O408" i="13"/>
  <c r="M408" i="13"/>
  <c r="O407" i="13"/>
  <c r="M407" i="13"/>
  <c r="O406" i="13"/>
  <c r="M406" i="13"/>
  <c r="O405" i="13"/>
  <c r="M405" i="13"/>
  <c r="O404" i="13"/>
  <c r="M404" i="13"/>
  <c r="O403" i="13"/>
  <c r="M403" i="13"/>
  <c r="O402" i="13"/>
  <c r="M402" i="13"/>
  <c r="O401" i="13"/>
  <c r="M401" i="13"/>
  <c r="O400" i="13"/>
  <c r="M400" i="13"/>
  <c r="O399" i="13"/>
  <c r="M399" i="13"/>
  <c r="O398" i="13"/>
  <c r="M398" i="13"/>
  <c r="O397" i="13"/>
  <c r="M397" i="13"/>
  <c r="O396" i="13"/>
  <c r="M396" i="13"/>
  <c r="O395" i="13"/>
  <c r="M395" i="13"/>
  <c r="O394" i="13"/>
  <c r="M394" i="13"/>
  <c r="O393" i="13"/>
  <c r="M393" i="13"/>
  <c r="O392" i="13"/>
  <c r="M392" i="13"/>
  <c r="O391" i="13"/>
  <c r="M391" i="13"/>
  <c r="O390" i="13"/>
  <c r="M390" i="13"/>
  <c r="O389" i="13"/>
  <c r="M389" i="13"/>
  <c r="O388" i="13"/>
  <c r="M388" i="13"/>
  <c r="O387" i="13"/>
  <c r="M387" i="13"/>
  <c r="O386" i="13"/>
  <c r="M386" i="13"/>
  <c r="O385" i="13"/>
  <c r="M385" i="13"/>
  <c r="O384" i="13"/>
  <c r="M384" i="13"/>
  <c r="O383" i="13"/>
  <c r="M383" i="13"/>
  <c r="O382" i="13"/>
  <c r="M382" i="13"/>
  <c r="O381" i="13"/>
  <c r="M381" i="13"/>
  <c r="O380" i="13"/>
  <c r="M380" i="13"/>
  <c r="O379" i="13"/>
  <c r="M379" i="13"/>
  <c r="O378" i="13"/>
  <c r="M378" i="13"/>
  <c r="O377" i="13"/>
  <c r="M377" i="13"/>
  <c r="O376" i="13"/>
  <c r="M376" i="13"/>
  <c r="O375" i="13"/>
  <c r="M375" i="13"/>
  <c r="O374" i="13"/>
  <c r="M374" i="13"/>
  <c r="O373" i="13"/>
  <c r="M373" i="13"/>
  <c r="D363" i="13"/>
  <c r="C363" i="13"/>
  <c r="C364" i="13" s="1"/>
  <c r="C365" i="13" s="1"/>
  <c r="C366" i="13" s="1"/>
  <c r="C367" i="13" s="1"/>
  <c r="C368" i="13" s="1"/>
  <c r="C369" i="13" s="1"/>
  <c r="C370" i="13" s="1"/>
  <c r="C371" i="13" s="1"/>
  <c r="C372" i="13" s="1"/>
  <c r="C373" i="13" s="1"/>
  <c r="C374" i="13" s="1"/>
  <c r="C375" i="13" s="1"/>
  <c r="C376" i="13" s="1"/>
  <c r="C377" i="13" s="1"/>
  <c r="C378" i="13" s="1"/>
  <c r="C379" i="13" s="1"/>
  <c r="C380" i="13" s="1"/>
  <c r="C381" i="13" s="1"/>
  <c r="C382" i="13" s="1"/>
  <c r="C383" i="13" s="1"/>
  <c r="C384" i="13" s="1"/>
  <c r="C385" i="13" s="1"/>
  <c r="C386" i="13" s="1"/>
  <c r="C387" i="13" s="1"/>
  <c r="C388" i="13" s="1"/>
  <c r="C389" i="13" s="1"/>
  <c r="C390" i="13" s="1"/>
  <c r="C391" i="13" s="1"/>
  <c r="C392" i="13" s="1"/>
  <c r="L358" i="13"/>
  <c r="L350" i="13"/>
  <c r="P344" i="13"/>
  <c r="O344" i="13"/>
  <c r="O335" i="13"/>
  <c r="M335" i="13"/>
  <c r="O334" i="13"/>
  <c r="M334" i="13"/>
  <c r="O333" i="13"/>
  <c r="M333" i="13"/>
  <c r="O332" i="13"/>
  <c r="M332" i="13"/>
  <c r="O331" i="13"/>
  <c r="M331" i="13"/>
  <c r="O330" i="13"/>
  <c r="M330" i="13"/>
  <c r="O329" i="13"/>
  <c r="M329" i="13"/>
  <c r="O328" i="13"/>
  <c r="M328" i="13"/>
  <c r="O327" i="13"/>
  <c r="M327" i="13"/>
  <c r="O326" i="13"/>
  <c r="M326" i="13"/>
  <c r="O325" i="13"/>
  <c r="M325" i="13"/>
  <c r="O324" i="13"/>
  <c r="M324" i="13"/>
  <c r="O323" i="13"/>
  <c r="M323" i="13"/>
  <c r="O322" i="13"/>
  <c r="M322" i="13"/>
  <c r="O321" i="13"/>
  <c r="M321" i="13"/>
  <c r="O320" i="13"/>
  <c r="M320" i="13"/>
  <c r="O319" i="13"/>
  <c r="M319" i="13"/>
  <c r="O318" i="13"/>
  <c r="M318" i="13"/>
  <c r="O317" i="13"/>
  <c r="M317" i="13"/>
  <c r="O316" i="13"/>
  <c r="M316" i="13"/>
  <c r="O315" i="13"/>
  <c r="M315" i="13"/>
  <c r="O314" i="13"/>
  <c r="M314" i="13"/>
  <c r="O313" i="13"/>
  <c r="M313" i="13"/>
  <c r="O312" i="13"/>
  <c r="M312" i="13"/>
  <c r="O311" i="13"/>
  <c r="M311" i="13"/>
  <c r="O310" i="13"/>
  <c r="M310" i="13"/>
  <c r="O309" i="13"/>
  <c r="M309" i="13"/>
  <c r="O308" i="13"/>
  <c r="M308" i="13"/>
  <c r="O307" i="13"/>
  <c r="M307" i="13"/>
  <c r="O306" i="13"/>
  <c r="M306" i="13"/>
  <c r="O305" i="13"/>
  <c r="M305" i="13"/>
  <c r="O304" i="13"/>
  <c r="M304" i="13"/>
  <c r="O303" i="13"/>
  <c r="M303" i="13"/>
  <c r="O302" i="13"/>
  <c r="M302" i="13"/>
  <c r="O301" i="13"/>
  <c r="M301" i="13"/>
  <c r="O300" i="13"/>
  <c r="M300" i="13"/>
  <c r="O299" i="13"/>
  <c r="M299" i="13"/>
  <c r="O298" i="13"/>
  <c r="M298" i="13"/>
  <c r="O297" i="13"/>
  <c r="M297" i="13"/>
  <c r="O296" i="13"/>
  <c r="M296" i="13"/>
  <c r="O295" i="13"/>
  <c r="M295" i="13"/>
  <c r="O294" i="13"/>
  <c r="M294" i="13"/>
  <c r="O293" i="13"/>
  <c r="M293" i="13"/>
  <c r="O292" i="13"/>
  <c r="M292" i="13"/>
  <c r="O291" i="13"/>
  <c r="M291" i="13"/>
  <c r="O290" i="13"/>
  <c r="M290" i="13"/>
  <c r="O289" i="13"/>
  <c r="M289" i="13"/>
  <c r="D276" i="13"/>
  <c r="C276" i="13"/>
  <c r="C277" i="13" s="1"/>
  <c r="C278" i="13" s="1"/>
  <c r="C279" i="13" s="1"/>
  <c r="C280" i="13" s="1"/>
  <c r="C281" i="13" s="1"/>
  <c r="C282" i="13" s="1"/>
  <c r="C283" i="13" s="1"/>
  <c r="C284" i="13" s="1"/>
  <c r="C285" i="13" s="1"/>
  <c r="C286" i="13" s="1"/>
  <c r="C287" i="13" s="1"/>
  <c r="C288" i="13" s="1"/>
  <c r="C289" i="13" s="1"/>
  <c r="C290" i="13" s="1"/>
  <c r="C291" i="13" s="1"/>
  <c r="C292" i="13" s="1"/>
  <c r="C293" i="13" s="1"/>
  <c r="C294" i="13" s="1"/>
  <c r="C295" i="13" s="1"/>
  <c r="C296" i="13" s="1"/>
  <c r="C297" i="13" s="1"/>
  <c r="C298" i="13" s="1"/>
  <c r="C299" i="13" s="1"/>
  <c r="C300" i="13" s="1"/>
  <c r="C301" i="13" s="1"/>
  <c r="C302" i="13" s="1"/>
  <c r="C303" i="13" s="1"/>
  <c r="C304" i="13" s="1"/>
  <c r="C305" i="13" s="1"/>
  <c r="L271" i="13"/>
  <c r="L263" i="13"/>
  <c r="P257" i="13"/>
  <c r="O257" i="13"/>
  <c r="O248" i="13"/>
  <c r="M248" i="13"/>
  <c r="O247" i="13"/>
  <c r="M247" i="13"/>
  <c r="O246" i="13"/>
  <c r="M246" i="13"/>
  <c r="O245" i="13"/>
  <c r="M245" i="13"/>
  <c r="O244" i="13"/>
  <c r="M244" i="13"/>
  <c r="O243" i="13"/>
  <c r="M243" i="13"/>
  <c r="O242" i="13"/>
  <c r="M242" i="13"/>
  <c r="O241" i="13"/>
  <c r="M241" i="13"/>
  <c r="O240" i="13"/>
  <c r="M240" i="13"/>
  <c r="O239" i="13"/>
  <c r="M239" i="13"/>
  <c r="O238" i="13"/>
  <c r="M238" i="13"/>
  <c r="O237" i="13"/>
  <c r="M237" i="13"/>
  <c r="O236" i="13"/>
  <c r="M236" i="13"/>
  <c r="O235" i="13"/>
  <c r="M235" i="13"/>
  <c r="O234" i="13"/>
  <c r="M234" i="13"/>
  <c r="O233" i="13"/>
  <c r="M233" i="13"/>
  <c r="O232" i="13"/>
  <c r="M232" i="13"/>
  <c r="O231" i="13"/>
  <c r="M231" i="13"/>
  <c r="O230" i="13"/>
  <c r="M230" i="13"/>
  <c r="O229" i="13"/>
  <c r="M229" i="13"/>
  <c r="O228" i="13"/>
  <c r="M228" i="13"/>
  <c r="O227" i="13"/>
  <c r="M227" i="13"/>
  <c r="O226" i="13"/>
  <c r="M226" i="13"/>
  <c r="O225" i="13"/>
  <c r="M225" i="13"/>
  <c r="O224" i="13"/>
  <c r="M224" i="13"/>
  <c r="O223" i="13"/>
  <c r="M223" i="13"/>
  <c r="O222" i="13"/>
  <c r="M222" i="13"/>
  <c r="O221" i="13"/>
  <c r="M221" i="13"/>
  <c r="O220" i="13"/>
  <c r="M220" i="13"/>
  <c r="O219" i="13"/>
  <c r="M219" i="13"/>
  <c r="O218" i="13"/>
  <c r="M218" i="13"/>
  <c r="O217" i="13"/>
  <c r="M217" i="13"/>
  <c r="O216" i="13"/>
  <c r="M216" i="13"/>
  <c r="O215" i="13"/>
  <c r="M215" i="13"/>
  <c r="O214" i="13"/>
  <c r="M214" i="13"/>
  <c r="O213" i="13"/>
  <c r="M213" i="13"/>
  <c r="O212" i="13"/>
  <c r="M212" i="13"/>
  <c r="O211" i="13"/>
  <c r="M211" i="13"/>
  <c r="O210" i="13"/>
  <c r="M210" i="13"/>
  <c r="O209" i="13"/>
  <c r="M209" i="13"/>
  <c r="O208" i="13"/>
  <c r="M208" i="13"/>
  <c r="O207" i="13"/>
  <c r="M207" i="13"/>
  <c r="O206" i="13"/>
  <c r="M206" i="13"/>
  <c r="O205" i="13"/>
  <c r="M205" i="13"/>
  <c r="O204" i="13"/>
  <c r="M204" i="13"/>
  <c r="O203" i="13"/>
  <c r="M203" i="13"/>
  <c r="O202" i="13"/>
  <c r="M202" i="13"/>
  <c r="D189" i="13"/>
  <c r="C189" i="13"/>
  <c r="C190" i="13" s="1"/>
  <c r="C191" i="13" s="1"/>
  <c r="C192" i="13" s="1"/>
  <c r="C193" i="13" s="1"/>
  <c r="C194" i="13" s="1"/>
  <c r="C195" i="13" s="1"/>
  <c r="C196" i="13" s="1"/>
  <c r="C197" i="13" s="1"/>
  <c r="C198" i="13" s="1"/>
  <c r="C199" i="13" s="1"/>
  <c r="C200" i="13" s="1"/>
  <c r="C201" i="13" s="1"/>
  <c r="C202" i="13" s="1"/>
  <c r="C203" i="13" s="1"/>
  <c r="C204" i="13" s="1"/>
  <c r="C205" i="13" s="1"/>
  <c r="C206" i="13" s="1"/>
  <c r="C207" i="13" s="1"/>
  <c r="C208" i="13" s="1"/>
  <c r="C209" i="13" s="1"/>
  <c r="C210" i="13" s="1"/>
  <c r="C211" i="13" s="1"/>
  <c r="C212" i="13" s="1"/>
  <c r="C213" i="13" s="1"/>
  <c r="C214" i="13" s="1"/>
  <c r="C215" i="13" s="1"/>
  <c r="C216" i="13" s="1"/>
  <c r="C217" i="13" s="1"/>
  <c r="C218" i="13" s="1"/>
  <c r="C219" i="13" s="1"/>
  <c r="C220" i="13" s="1"/>
  <c r="C221" i="13" s="1"/>
  <c r="C222" i="13" s="1"/>
  <c r="C223" i="13" s="1"/>
  <c r="C224" i="13" s="1"/>
  <c r="C225" i="13" s="1"/>
  <c r="C226" i="13" s="1"/>
  <c r="C227" i="13" s="1"/>
  <c r="C228" i="13" s="1"/>
  <c r="C229" i="13" s="1"/>
  <c r="C230" i="13" s="1"/>
  <c r="C231" i="13" s="1"/>
  <c r="C232" i="13" s="1"/>
  <c r="C233" i="13" s="1"/>
  <c r="C234" i="13" s="1"/>
  <c r="C235" i="13" s="1"/>
  <c r="C236" i="13" s="1"/>
  <c r="C237" i="13" s="1"/>
  <c r="C238" i="13" s="1"/>
  <c r="C239" i="13" s="1"/>
  <c r="C240" i="13" s="1"/>
  <c r="C241" i="13" s="1"/>
  <c r="C242" i="13" s="1"/>
  <c r="C243" i="13" s="1"/>
  <c r="C244" i="13" s="1"/>
  <c r="C245" i="13" s="1"/>
  <c r="C246" i="13" s="1"/>
  <c r="C247" i="13" s="1"/>
  <c r="C248" i="13" s="1"/>
  <c r="L184" i="13"/>
  <c r="L176" i="13"/>
  <c r="P170" i="13"/>
  <c r="O170" i="13"/>
  <c r="G160" i="2"/>
  <c r="D726" i="20"/>
  <c r="C726" i="20"/>
  <c r="C727" i="20" s="1"/>
  <c r="C728" i="20" s="1"/>
  <c r="C729" i="20" s="1"/>
  <c r="C730" i="20" s="1"/>
  <c r="C731" i="20" s="1"/>
  <c r="C732" i="20" s="1"/>
  <c r="C733" i="20" s="1"/>
  <c r="C734" i="20" s="1"/>
  <c r="C735" i="20" s="1"/>
  <c r="C736" i="20" s="1"/>
  <c r="C737" i="20" s="1"/>
  <c r="C738" i="20" s="1"/>
  <c r="C739" i="20" s="1"/>
  <c r="C740" i="20" s="1"/>
  <c r="C741" i="20" s="1"/>
  <c r="C742" i="20" s="1"/>
  <c r="C743" i="20" s="1"/>
  <c r="C744" i="20" s="1"/>
  <c r="C745" i="20" s="1"/>
  <c r="C746" i="20" s="1"/>
  <c r="C747" i="20" s="1"/>
  <c r="C748" i="20" s="1"/>
  <c r="C749" i="20" s="1"/>
  <c r="C750" i="20" s="1"/>
  <c r="C751" i="20" s="1"/>
  <c r="C752" i="20" s="1"/>
  <c r="C753" i="20" s="1"/>
  <c r="C754" i="20" s="1"/>
  <c r="C755" i="20" s="1"/>
  <c r="C756" i="20" s="1"/>
  <c r="C757" i="20" s="1"/>
  <c r="C758" i="20" s="1"/>
  <c r="C759" i="20" s="1"/>
  <c r="C760" i="20" s="1"/>
  <c r="C761" i="20" s="1"/>
  <c r="C762" i="20" s="1"/>
  <c r="C763" i="20" s="1"/>
  <c r="C764" i="20" s="1"/>
  <c r="C765" i="20" s="1"/>
  <c r="C766" i="20" s="1"/>
  <c r="C767" i="20" s="1"/>
  <c r="C768" i="20" s="1"/>
  <c r="C769" i="20" s="1"/>
  <c r="C770" i="20" s="1"/>
  <c r="C771" i="20" s="1"/>
  <c r="C772" i="20" s="1"/>
  <c r="C773" i="20" s="1"/>
  <c r="C774" i="20" s="1"/>
  <c r="C775" i="20" s="1"/>
  <c r="C776" i="20" s="1"/>
  <c r="C777" i="20" s="1"/>
  <c r="C778" i="20" s="1"/>
  <c r="C779" i="20" s="1"/>
  <c r="C780" i="20" s="1"/>
  <c r="C781" i="20" s="1"/>
  <c r="C782" i="20" s="1"/>
  <c r="C783" i="20" s="1"/>
  <c r="C784" i="20" s="1"/>
  <c r="C785" i="20" s="1"/>
  <c r="K721" i="20"/>
  <c r="I720" i="20"/>
  <c r="O707" i="20"/>
  <c r="N707" i="20"/>
  <c r="D637" i="20"/>
  <c r="C637" i="20"/>
  <c r="C638" i="20" s="1"/>
  <c r="C639" i="20" s="1"/>
  <c r="C640" i="20" s="1"/>
  <c r="C641" i="20" s="1"/>
  <c r="C642" i="20" s="1"/>
  <c r="C643" i="20" s="1"/>
  <c r="C644" i="20" s="1"/>
  <c r="C645" i="20" s="1"/>
  <c r="C646" i="20" s="1"/>
  <c r="C647" i="20" s="1"/>
  <c r="C648" i="20" s="1"/>
  <c r="C649" i="20" s="1"/>
  <c r="C650" i="20" s="1"/>
  <c r="C651" i="20" s="1"/>
  <c r="C652" i="20" s="1"/>
  <c r="C653" i="20" s="1"/>
  <c r="C654" i="20" s="1"/>
  <c r="C655" i="20" s="1"/>
  <c r="C656" i="20" s="1"/>
  <c r="C657" i="20" s="1"/>
  <c r="C658" i="20" s="1"/>
  <c r="C659" i="20" s="1"/>
  <c r="C660" i="20" s="1"/>
  <c r="C661" i="20" s="1"/>
  <c r="C662" i="20" s="1"/>
  <c r="C663" i="20" s="1"/>
  <c r="C664" i="20" s="1"/>
  <c r="C665" i="20" s="1"/>
  <c r="C666" i="20" s="1"/>
  <c r="C667" i="20" s="1"/>
  <c r="C668" i="20" s="1"/>
  <c r="C669" i="20" s="1"/>
  <c r="C670" i="20" s="1"/>
  <c r="C671" i="20" s="1"/>
  <c r="C672" i="20" s="1"/>
  <c r="C673" i="20" s="1"/>
  <c r="C674" i="20" s="1"/>
  <c r="C675" i="20" s="1"/>
  <c r="C676" i="20" s="1"/>
  <c r="C677" i="20" s="1"/>
  <c r="C678" i="20" s="1"/>
  <c r="C679" i="20" s="1"/>
  <c r="C680" i="20" s="1"/>
  <c r="C681" i="20" s="1"/>
  <c r="C682" i="20" s="1"/>
  <c r="C683" i="20" s="1"/>
  <c r="C684" i="20" s="1"/>
  <c r="C685" i="20" s="1"/>
  <c r="C686" i="20" s="1"/>
  <c r="C687" i="20" s="1"/>
  <c r="C688" i="20" s="1"/>
  <c r="C689" i="20" s="1"/>
  <c r="C690" i="20" s="1"/>
  <c r="C691" i="20" s="1"/>
  <c r="C692" i="20" s="1"/>
  <c r="C693" i="20" s="1"/>
  <c r="C694" i="20" s="1"/>
  <c r="C695" i="20" s="1"/>
  <c r="C696" i="20" s="1"/>
  <c r="K632" i="20"/>
  <c r="I631" i="20"/>
  <c r="O618" i="20"/>
  <c r="N618" i="20"/>
  <c r="D548" i="20"/>
  <c r="C548" i="20"/>
  <c r="C549" i="20" s="1"/>
  <c r="C550" i="20" s="1"/>
  <c r="C551" i="20" s="1"/>
  <c r="C552" i="20" s="1"/>
  <c r="C553" i="20" s="1"/>
  <c r="C554" i="20" s="1"/>
  <c r="C555" i="20" s="1"/>
  <c r="C556" i="20" s="1"/>
  <c r="C557" i="20" s="1"/>
  <c r="C558" i="20" s="1"/>
  <c r="C559" i="20" s="1"/>
  <c r="C560" i="20" s="1"/>
  <c r="C561" i="20" s="1"/>
  <c r="C562" i="20" s="1"/>
  <c r="C563" i="20" s="1"/>
  <c r="C564" i="20" s="1"/>
  <c r="C565" i="20" s="1"/>
  <c r="C566" i="20" s="1"/>
  <c r="C567" i="20" s="1"/>
  <c r="C568" i="20" s="1"/>
  <c r="C569" i="20" s="1"/>
  <c r="C570" i="20" s="1"/>
  <c r="C571" i="20" s="1"/>
  <c r="C572" i="20" s="1"/>
  <c r="C573" i="20" s="1"/>
  <c r="C574" i="20" s="1"/>
  <c r="C575" i="20" s="1"/>
  <c r="C576" i="20" s="1"/>
  <c r="C577" i="20" s="1"/>
  <c r="C578" i="20" s="1"/>
  <c r="C579" i="20" s="1"/>
  <c r="C580" i="20" s="1"/>
  <c r="C581" i="20" s="1"/>
  <c r="C582" i="20" s="1"/>
  <c r="C583" i="20" s="1"/>
  <c r="C584" i="20" s="1"/>
  <c r="C585" i="20" s="1"/>
  <c r="C586" i="20" s="1"/>
  <c r="C587" i="20" s="1"/>
  <c r="C588" i="20" s="1"/>
  <c r="C589" i="20" s="1"/>
  <c r="C590" i="20" s="1"/>
  <c r="C591" i="20" s="1"/>
  <c r="C592" i="20" s="1"/>
  <c r="C593" i="20" s="1"/>
  <c r="C594" i="20" s="1"/>
  <c r="C595" i="20" s="1"/>
  <c r="C596" i="20" s="1"/>
  <c r="C597" i="20" s="1"/>
  <c r="C598" i="20" s="1"/>
  <c r="C599" i="20" s="1"/>
  <c r="C600" i="20" s="1"/>
  <c r="C601" i="20" s="1"/>
  <c r="C602" i="20" s="1"/>
  <c r="C603" i="20" s="1"/>
  <c r="C604" i="20" s="1"/>
  <c r="C605" i="20" s="1"/>
  <c r="C606" i="20" s="1"/>
  <c r="C607" i="20" s="1"/>
  <c r="K543" i="20"/>
  <c r="I542" i="20"/>
  <c r="O529" i="20"/>
  <c r="N529" i="20"/>
  <c r="D459" i="20"/>
  <c r="C459" i="20"/>
  <c r="C460" i="20" s="1"/>
  <c r="C461" i="20" s="1"/>
  <c r="C462" i="20" s="1"/>
  <c r="C463" i="20" s="1"/>
  <c r="C464" i="20" s="1"/>
  <c r="C465" i="20" s="1"/>
  <c r="C466" i="20" s="1"/>
  <c r="C467" i="20" s="1"/>
  <c r="C468" i="20" s="1"/>
  <c r="C469" i="20" s="1"/>
  <c r="C470" i="20" s="1"/>
  <c r="C471" i="20" s="1"/>
  <c r="C472" i="20" s="1"/>
  <c r="C473" i="20" s="1"/>
  <c r="C474" i="20" s="1"/>
  <c r="C475" i="20" s="1"/>
  <c r="C476" i="20" s="1"/>
  <c r="C477" i="20" s="1"/>
  <c r="C478" i="20" s="1"/>
  <c r="C479" i="20" s="1"/>
  <c r="C480" i="20" s="1"/>
  <c r="C481" i="20" s="1"/>
  <c r="C482" i="20" s="1"/>
  <c r="C483" i="20" s="1"/>
  <c r="C484" i="20" s="1"/>
  <c r="C485" i="20" s="1"/>
  <c r="C486" i="20" s="1"/>
  <c r="C487" i="20" s="1"/>
  <c r="C488" i="20" s="1"/>
  <c r="C489" i="20" s="1"/>
  <c r="C490" i="20" s="1"/>
  <c r="C491" i="20" s="1"/>
  <c r="C492" i="20" s="1"/>
  <c r="C493" i="20" s="1"/>
  <c r="C494" i="20" s="1"/>
  <c r="C495" i="20" s="1"/>
  <c r="C496" i="20" s="1"/>
  <c r="C497" i="20" s="1"/>
  <c r="C498" i="20" s="1"/>
  <c r="C499" i="20" s="1"/>
  <c r="C500" i="20" s="1"/>
  <c r="C501" i="20" s="1"/>
  <c r="C502" i="20" s="1"/>
  <c r="C503" i="20" s="1"/>
  <c r="C504" i="20" s="1"/>
  <c r="C505" i="20" s="1"/>
  <c r="C506" i="20" s="1"/>
  <c r="C507" i="20" s="1"/>
  <c r="C508" i="20" s="1"/>
  <c r="C509" i="20" s="1"/>
  <c r="C510" i="20" s="1"/>
  <c r="C511" i="20" s="1"/>
  <c r="C512" i="20" s="1"/>
  <c r="C513" i="20" s="1"/>
  <c r="C514" i="20" s="1"/>
  <c r="C515" i="20" s="1"/>
  <c r="C516" i="20" s="1"/>
  <c r="C517" i="20" s="1"/>
  <c r="C518" i="20" s="1"/>
  <c r="K454" i="20"/>
  <c r="I453" i="20"/>
  <c r="O440" i="20"/>
  <c r="N440" i="20"/>
  <c r="D370" i="20"/>
  <c r="C370" i="20"/>
  <c r="C371" i="20" s="1"/>
  <c r="C372" i="20" s="1"/>
  <c r="C373" i="20" s="1"/>
  <c r="C374" i="20" s="1"/>
  <c r="C375" i="20" s="1"/>
  <c r="C376" i="20" s="1"/>
  <c r="C377" i="20" s="1"/>
  <c r="C378" i="20" s="1"/>
  <c r="C379" i="20" s="1"/>
  <c r="C380" i="20" s="1"/>
  <c r="C381" i="20" s="1"/>
  <c r="C382" i="20" s="1"/>
  <c r="C383" i="20" s="1"/>
  <c r="C384" i="20" s="1"/>
  <c r="C385" i="20" s="1"/>
  <c r="C386" i="20" s="1"/>
  <c r="C387" i="20" s="1"/>
  <c r="C388" i="20" s="1"/>
  <c r="C389" i="20" s="1"/>
  <c r="C390" i="20" s="1"/>
  <c r="C391" i="20" s="1"/>
  <c r="C392" i="20" s="1"/>
  <c r="C393" i="20" s="1"/>
  <c r="C394" i="20" s="1"/>
  <c r="C395" i="20" s="1"/>
  <c r="C396" i="20" s="1"/>
  <c r="C397" i="20" s="1"/>
  <c r="C398" i="20" s="1"/>
  <c r="C399" i="20" s="1"/>
  <c r="C400" i="20" s="1"/>
  <c r="C401" i="20" s="1"/>
  <c r="C402" i="20" s="1"/>
  <c r="C403" i="20" s="1"/>
  <c r="C404" i="20" s="1"/>
  <c r="C405" i="20" s="1"/>
  <c r="C406" i="20" s="1"/>
  <c r="C407" i="20" s="1"/>
  <c r="C408" i="20" s="1"/>
  <c r="C409" i="20" s="1"/>
  <c r="C410" i="20" s="1"/>
  <c r="C411" i="20" s="1"/>
  <c r="C412" i="20" s="1"/>
  <c r="C413" i="20" s="1"/>
  <c r="C414" i="20" s="1"/>
  <c r="C415" i="20" s="1"/>
  <c r="C416" i="20" s="1"/>
  <c r="C417" i="20" s="1"/>
  <c r="C418" i="20" s="1"/>
  <c r="C419" i="20" s="1"/>
  <c r="C420" i="20" s="1"/>
  <c r="C421" i="20" s="1"/>
  <c r="C422" i="20" s="1"/>
  <c r="C423" i="20" s="1"/>
  <c r="C424" i="20" s="1"/>
  <c r="C425" i="20" s="1"/>
  <c r="C426" i="20" s="1"/>
  <c r="C427" i="20" s="1"/>
  <c r="C428" i="20" s="1"/>
  <c r="C429" i="20" s="1"/>
  <c r="K365" i="20"/>
  <c r="I364" i="20"/>
  <c r="O351" i="20"/>
  <c r="N351" i="20"/>
  <c r="D281" i="20"/>
  <c r="C281" i="20"/>
  <c r="C282" i="20" s="1"/>
  <c r="C283" i="20" s="1"/>
  <c r="C284" i="20" s="1"/>
  <c r="C285" i="20" s="1"/>
  <c r="C286" i="20" s="1"/>
  <c r="C287" i="20" s="1"/>
  <c r="C288" i="20" s="1"/>
  <c r="C289" i="20" s="1"/>
  <c r="C290" i="20" s="1"/>
  <c r="C291" i="20" s="1"/>
  <c r="C292" i="20" s="1"/>
  <c r="C293" i="20" s="1"/>
  <c r="C294" i="20" s="1"/>
  <c r="C295" i="20" s="1"/>
  <c r="C296" i="20" s="1"/>
  <c r="C297" i="20" s="1"/>
  <c r="C298" i="20" s="1"/>
  <c r="C299" i="20" s="1"/>
  <c r="C300" i="20" s="1"/>
  <c r="C301" i="20" s="1"/>
  <c r="C302" i="20" s="1"/>
  <c r="C303" i="20" s="1"/>
  <c r="C304" i="20" s="1"/>
  <c r="C305" i="20" s="1"/>
  <c r="C306" i="20" s="1"/>
  <c r="C307" i="20" s="1"/>
  <c r="C308" i="20" s="1"/>
  <c r="C309" i="20" s="1"/>
  <c r="C310" i="20" s="1"/>
  <c r="C311" i="20" s="1"/>
  <c r="C312" i="20" s="1"/>
  <c r="C313" i="20" s="1"/>
  <c r="C314" i="20" s="1"/>
  <c r="C315" i="20" s="1"/>
  <c r="C316" i="20" s="1"/>
  <c r="C317" i="20" s="1"/>
  <c r="C318" i="20" s="1"/>
  <c r="C319" i="20" s="1"/>
  <c r="C320" i="20" s="1"/>
  <c r="C321" i="20" s="1"/>
  <c r="C322" i="20" s="1"/>
  <c r="C323" i="20" s="1"/>
  <c r="C324" i="20" s="1"/>
  <c r="C325" i="20" s="1"/>
  <c r="C326" i="20" s="1"/>
  <c r="C327" i="20" s="1"/>
  <c r="C328" i="20" s="1"/>
  <c r="C329" i="20" s="1"/>
  <c r="C330" i="20" s="1"/>
  <c r="C331" i="20" s="1"/>
  <c r="C332" i="20" s="1"/>
  <c r="C333" i="20" s="1"/>
  <c r="C334" i="20" s="1"/>
  <c r="C335" i="20" s="1"/>
  <c r="C336" i="20" s="1"/>
  <c r="C337" i="20" s="1"/>
  <c r="C338" i="20" s="1"/>
  <c r="C339" i="20" s="1"/>
  <c r="C340" i="20" s="1"/>
  <c r="K276" i="20"/>
  <c r="I275" i="20"/>
  <c r="O262" i="20"/>
  <c r="N262" i="20"/>
  <c r="D192" i="20"/>
  <c r="C192" i="20"/>
  <c r="C193" i="20" s="1"/>
  <c r="C194" i="20" s="1"/>
  <c r="C195" i="20" s="1"/>
  <c r="C196" i="20" s="1"/>
  <c r="C197" i="20" s="1"/>
  <c r="C198" i="20" s="1"/>
  <c r="C199" i="20" s="1"/>
  <c r="C200" i="20" s="1"/>
  <c r="C201" i="20" s="1"/>
  <c r="C202" i="20" s="1"/>
  <c r="C203" i="20" s="1"/>
  <c r="C204" i="20" s="1"/>
  <c r="C205" i="20" s="1"/>
  <c r="C206" i="20" s="1"/>
  <c r="C207" i="20" s="1"/>
  <c r="C208" i="20" s="1"/>
  <c r="C209" i="20" s="1"/>
  <c r="C210" i="20" s="1"/>
  <c r="C211" i="20" s="1"/>
  <c r="C212" i="20" s="1"/>
  <c r="C213" i="20" s="1"/>
  <c r="C214" i="20" s="1"/>
  <c r="C215" i="20" s="1"/>
  <c r="C216" i="20" s="1"/>
  <c r="C217" i="20" s="1"/>
  <c r="C218" i="20" s="1"/>
  <c r="C219" i="20" s="1"/>
  <c r="C220" i="20" s="1"/>
  <c r="C221" i="20" s="1"/>
  <c r="C222" i="20" s="1"/>
  <c r="C223" i="20" s="1"/>
  <c r="C224" i="20" s="1"/>
  <c r="C225" i="20" s="1"/>
  <c r="C226" i="20" s="1"/>
  <c r="C227" i="20" s="1"/>
  <c r="C228" i="20" s="1"/>
  <c r="C229" i="20" s="1"/>
  <c r="C230" i="20" s="1"/>
  <c r="C231" i="20" s="1"/>
  <c r="C232" i="20" s="1"/>
  <c r="C233" i="20" s="1"/>
  <c r="C234" i="20" s="1"/>
  <c r="C235" i="20" s="1"/>
  <c r="C236" i="20" s="1"/>
  <c r="C237" i="20" s="1"/>
  <c r="C238" i="20" s="1"/>
  <c r="C239" i="20" s="1"/>
  <c r="C240" i="20" s="1"/>
  <c r="C241" i="20" s="1"/>
  <c r="C242" i="20" s="1"/>
  <c r="C243" i="20" s="1"/>
  <c r="C244" i="20" s="1"/>
  <c r="C245" i="20" s="1"/>
  <c r="C246" i="20" s="1"/>
  <c r="C247" i="20" s="1"/>
  <c r="C248" i="20" s="1"/>
  <c r="C249" i="20" s="1"/>
  <c r="C250" i="20" s="1"/>
  <c r="C251" i="20" s="1"/>
  <c r="K187" i="20"/>
  <c r="I186" i="20"/>
  <c r="O173" i="20"/>
  <c r="N173" i="20"/>
  <c r="D103" i="20"/>
  <c r="C103" i="20"/>
  <c r="C104" i="20" s="1"/>
  <c r="C105" i="20" s="1"/>
  <c r="C106" i="20" s="1"/>
  <c r="C107" i="20" s="1"/>
  <c r="C108" i="20" s="1"/>
  <c r="C109" i="20" s="1"/>
  <c r="C110" i="20" s="1"/>
  <c r="C111" i="20" s="1"/>
  <c r="C112" i="20" s="1"/>
  <c r="C113" i="20" s="1"/>
  <c r="C114" i="20" s="1"/>
  <c r="C115" i="20" s="1"/>
  <c r="C116" i="20" s="1"/>
  <c r="C117" i="20" s="1"/>
  <c r="C118" i="20" s="1"/>
  <c r="C119" i="20" s="1"/>
  <c r="C120" i="20" s="1"/>
  <c r="C121" i="20" s="1"/>
  <c r="C122" i="20" s="1"/>
  <c r="C123" i="20" s="1"/>
  <c r="C124" i="20" s="1"/>
  <c r="C125" i="20" s="1"/>
  <c r="C126" i="20" s="1"/>
  <c r="C127" i="20" s="1"/>
  <c r="C128" i="20" s="1"/>
  <c r="C129" i="20" s="1"/>
  <c r="C130" i="20" s="1"/>
  <c r="C131" i="20" s="1"/>
  <c r="C132" i="20" s="1"/>
  <c r="C133" i="20" s="1"/>
  <c r="C134" i="20" s="1"/>
  <c r="C135" i="20" s="1"/>
  <c r="C136" i="20" s="1"/>
  <c r="C137" i="20" s="1"/>
  <c r="C138" i="20" s="1"/>
  <c r="C139" i="20" s="1"/>
  <c r="C140" i="20" s="1"/>
  <c r="C141" i="20" s="1"/>
  <c r="C142" i="20" s="1"/>
  <c r="C143" i="20" s="1"/>
  <c r="C144" i="20" s="1"/>
  <c r="C145" i="20" s="1"/>
  <c r="C146" i="20" s="1"/>
  <c r="C147" i="20" s="1"/>
  <c r="C148" i="20" s="1"/>
  <c r="C149" i="20" s="1"/>
  <c r="C150" i="20" s="1"/>
  <c r="C151" i="20" s="1"/>
  <c r="C152" i="20" s="1"/>
  <c r="C153" i="20" s="1"/>
  <c r="C154" i="20" s="1"/>
  <c r="C155" i="20" s="1"/>
  <c r="C156" i="20" s="1"/>
  <c r="C157" i="20" s="1"/>
  <c r="C158" i="20" s="1"/>
  <c r="C159" i="20" s="1"/>
  <c r="C160" i="20" s="1"/>
  <c r="C161" i="20" s="1"/>
  <c r="C162" i="20" s="1"/>
  <c r="K98" i="20"/>
  <c r="I97" i="20"/>
  <c r="O84" i="20"/>
  <c r="N84" i="20"/>
  <c r="G22" i="50"/>
  <c r="G23" i="50" s="1"/>
  <c r="G24" i="50" s="1"/>
  <c r="G25" i="50" s="1"/>
  <c r="G26" i="50" s="1"/>
  <c r="G27" i="50" s="1"/>
  <c r="G28" i="50" s="1"/>
  <c r="G29" i="50" s="1"/>
  <c r="G30" i="50" s="1"/>
  <c r="G31" i="50" s="1"/>
  <c r="G32" i="50" s="1"/>
  <c r="F21" i="50"/>
  <c r="F22" i="50" s="1"/>
  <c r="H10" i="50"/>
  <c r="D21" i="50" s="1"/>
  <c r="D22" i="50" s="1"/>
  <c r="D23" i="50" s="1"/>
  <c r="D24" i="50" s="1"/>
  <c r="D25" i="50" s="1"/>
  <c r="D26" i="50" s="1"/>
  <c r="D27" i="50" s="1"/>
  <c r="D28" i="50" s="1"/>
  <c r="D29" i="50" s="1"/>
  <c r="D30" i="50" s="1"/>
  <c r="D31" i="50" s="1"/>
  <c r="D32" i="50" s="1"/>
  <c r="F10" i="50"/>
  <c r="B10" i="50"/>
  <c r="G22" i="49"/>
  <c r="G23" i="49" s="1"/>
  <c r="G24" i="49" s="1"/>
  <c r="G25" i="49" s="1"/>
  <c r="G26" i="49" s="1"/>
  <c r="G27" i="49" s="1"/>
  <c r="G28" i="49" s="1"/>
  <c r="G29" i="49" s="1"/>
  <c r="G30" i="49" s="1"/>
  <c r="G31" i="49" s="1"/>
  <c r="G32" i="49" s="1"/>
  <c r="F21" i="49"/>
  <c r="F22" i="49" s="1"/>
  <c r="F23" i="49" s="1"/>
  <c r="F24" i="49" s="1"/>
  <c r="H10" i="49"/>
  <c r="D21" i="49" s="1"/>
  <c r="D22" i="49" s="1"/>
  <c r="D23" i="49" s="1"/>
  <c r="D24" i="49" s="1"/>
  <c r="D25" i="49" s="1"/>
  <c r="D26" i="49" s="1"/>
  <c r="D27" i="49" s="1"/>
  <c r="D28" i="49" s="1"/>
  <c r="D29" i="49" s="1"/>
  <c r="D30" i="49" s="1"/>
  <c r="D31" i="49" s="1"/>
  <c r="D32" i="49" s="1"/>
  <c r="F10" i="49"/>
  <c r="B10" i="49"/>
  <c r="G22" i="47"/>
  <c r="G23" i="47" s="1"/>
  <c r="G24" i="47" s="1"/>
  <c r="G25" i="47" s="1"/>
  <c r="G26" i="47" s="1"/>
  <c r="G27" i="47" s="1"/>
  <c r="G28" i="47" s="1"/>
  <c r="G29" i="47" s="1"/>
  <c r="G30" i="47" s="1"/>
  <c r="G31" i="47" s="1"/>
  <c r="G32" i="47" s="1"/>
  <c r="F21" i="47"/>
  <c r="F22" i="47" s="1"/>
  <c r="F23" i="47" s="1"/>
  <c r="F24" i="47" s="1"/>
  <c r="F25" i="47" s="1"/>
  <c r="F26" i="47" s="1"/>
  <c r="F27" i="47" s="1"/>
  <c r="F28" i="47" s="1"/>
  <c r="F10" i="47"/>
  <c r="B10" i="47"/>
  <c r="I54" i="47"/>
  <c r="F74" i="9"/>
  <c r="G170" i="2" s="1"/>
  <c r="L170" i="2" s="1"/>
  <c r="D74" i="9"/>
  <c r="G164" i="2" s="1"/>
  <c r="D23" i="35"/>
  <c r="G67" i="2" s="1"/>
  <c r="L67" i="2" s="1"/>
  <c r="G42" i="41"/>
  <c r="F42" i="41"/>
  <c r="E42" i="41"/>
  <c r="D42" i="41"/>
  <c r="C42" i="41"/>
  <c r="F23" i="41"/>
  <c r="L267" i="2" s="1"/>
  <c r="E23" i="41"/>
  <c r="L266" i="2" s="1"/>
  <c r="D23" i="41"/>
  <c r="L265" i="2" s="1"/>
  <c r="F62" i="35"/>
  <c r="E62" i="35"/>
  <c r="L235" i="2" s="1"/>
  <c r="D62" i="35"/>
  <c r="C62" i="35"/>
  <c r="L236" i="2" s="1"/>
  <c r="K42" i="35"/>
  <c r="G88" i="2" s="1"/>
  <c r="J42" i="35"/>
  <c r="G87" i="2" s="1"/>
  <c r="I42" i="35"/>
  <c r="G86" i="2" s="1"/>
  <c r="H42" i="35"/>
  <c r="G85" i="2" s="1"/>
  <c r="L85" i="2" s="1"/>
  <c r="G42" i="35"/>
  <c r="G84" i="2" s="1"/>
  <c r="L84" i="2" s="1"/>
  <c r="F42" i="35"/>
  <c r="G83" i="2" s="1"/>
  <c r="E42" i="35"/>
  <c r="G82" i="2" s="1"/>
  <c r="D42" i="35"/>
  <c r="G81" i="2" s="1"/>
  <c r="L81" i="2" s="1"/>
  <c r="K23" i="35"/>
  <c r="G74" i="2" s="1"/>
  <c r="J23" i="35"/>
  <c r="G73" i="2" s="1"/>
  <c r="I23" i="35"/>
  <c r="G72" i="2" s="1"/>
  <c r="H23" i="35"/>
  <c r="G71" i="2" s="1"/>
  <c r="L71" i="2" s="1"/>
  <c r="G23" i="35"/>
  <c r="G70" i="2" s="1"/>
  <c r="F23" i="35"/>
  <c r="G69" i="2" s="1"/>
  <c r="E23" i="35"/>
  <c r="G68" i="2" s="1"/>
  <c r="L234" i="2" s="1"/>
  <c r="C23" i="35"/>
  <c r="G66" i="2" s="1"/>
  <c r="F17" i="48"/>
  <c r="B14" i="48"/>
  <c r="A6" i="48"/>
  <c r="K41" i="48"/>
  <c r="K37" i="48"/>
  <c r="E28" i="48"/>
  <c r="A23" i="48"/>
  <c r="A24" i="48" s="1"/>
  <c r="A25" i="48" s="1"/>
  <c r="A26" i="48" s="1"/>
  <c r="A27" i="48" s="1"/>
  <c r="E20" i="48"/>
  <c r="A4" i="48"/>
  <c r="C63" i="41"/>
  <c r="B48" i="41"/>
  <c r="I30" i="30"/>
  <c r="A6" i="11"/>
  <c r="A4" i="41"/>
  <c r="A6" i="13"/>
  <c r="A6" i="20"/>
  <c r="A6" i="10"/>
  <c r="A6" i="9"/>
  <c r="A6" i="8"/>
  <c r="B36" i="8" s="1"/>
  <c r="A6" i="7"/>
  <c r="B26" i="7" s="1"/>
  <c r="A6" i="6"/>
  <c r="B1" i="39"/>
  <c r="B1" i="38"/>
  <c r="A6" i="5"/>
  <c r="A4" i="35"/>
  <c r="B3" i="39"/>
  <c r="U10" i="39"/>
  <c r="S10" i="38"/>
  <c r="O10" i="39"/>
  <c r="M10" i="38"/>
  <c r="F13" i="39"/>
  <c r="E13" i="39"/>
  <c r="E13" i="38"/>
  <c r="D13" i="39"/>
  <c r="D13" i="38"/>
  <c r="C13" i="39"/>
  <c r="C13" i="38"/>
  <c r="O109" i="39"/>
  <c r="D43" i="5"/>
  <c r="D42" i="5"/>
  <c r="D27" i="5"/>
  <c r="D19" i="5"/>
  <c r="F87" i="35"/>
  <c r="F85" i="35"/>
  <c r="S167" i="38"/>
  <c r="F13" i="38"/>
  <c r="B3" i="38"/>
  <c r="A69" i="38"/>
  <c r="D26" i="5" s="1"/>
  <c r="A170" i="38"/>
  <c r="A173" i="38" s="1"/>
  <c r="D35" i="5" s="1"/>
  <c r="I42" i="5"/>
  <c r="S189" i="38"/>
  <c r="E49" i="5" s="1"/>
  <c r="E51" i="5" s="1"/>
  <c r="M189" i="38"/>
  <c r="G49" i="5" s="1"/>
  <c r="F189" i="38"/>
  <c r="E189" i="38"/>
  <c r="K189" i="38"/>
  <c r="D189" i="38"/>
  <c r="G171" i="38"/>
  <c r="K170" i="38"/>
  <c r="J170" i="38"/>
  <c r="I170" i="38"/>
  <c r="E68" i="38"/>
  <c r="V23" i="38"/>
  <c r="U23" i="38"/>
  <c r="S23" i="38"/>
  <c r="F20" i="38"/>
  <c r="G20" i="38" s="1"/>
  <c r="E23" i="38"/>
  <c r="F19" i="38"/>
  <c r="K17" i="38"/>
  <c r="K23" i="38" s="1"/>
  <c r="J17" i="38"/>
  <c r="J23" i="38" s="1"/>
  <c r="I17" i="38"/>
  <c r="I23" i="38" s="1"/>
  <c r="D17" i="38"/>
  <c r="D23" i="38" s="1"/>
  <c r="C17" i="38"/>
  <c r="C23" i="38" s="1"/>
  <c r="A24" i="38"/>
  <c r="D18" i="5" s="1"/>
  <c r="Q27" i="21"/>
  <c r="Q22" i="21"/>
  <c r="Q17" i="21"/>
  <c r="A2" i="41"/>
  <c r="A11" i="41"/>
  <c r="A12" i="41" s="1"/>
  <c r="A13" i="41" s="1"/>
  <c r="A14" i="41" s="1"/>
  <c r="A15" i="41" s="1"/>
  <c r="A16" i="41" s="1"/>
  <c r="A17" i="41" s="1"/>
  <c r="A18" i="41" s="1"/>
  <c r="A19" i="41" s="1"/>
  <c r="A20" i="41" s="1"/>
  <c r="A21" i="41" s="1"/>
  <c r="A22" i="41" s="1"/>
  <c r="A23" i="41" s="1"/>
  <c r="E265" i="2" s="1"/>
  <c r="H29" i="41"/>
  <c r="H31" i="41"/>
  <c r="H33" i="41"/>
  <c r="H35" i="41"/>
  <c r="H37" i="41"/>
  <c r="H39" i="41"/>
  <c r="H41" i="41"/>
  <c r="E69" i="41"/>
  <c r="E70" i="41"/>
  <c r="E71" i="41"/>
  <c r="E72" i="41"/>
  <c r="D74" i="41"/>
  <c r="B85" i="41"/>
  <c r="B86" i="41"/>
  <c r="B87" i="41"/>
  <c r="C88" i="41"/>
  <c r="C89" i="41" s="1"/>
  <c r="D88" i="41"/>
  <c r="D89" i="41" s="1"/>
  <c r="B91" i="41"/>
  <c r="B92" i="41"/>
  <c r="B93" i="41"/>
  <c r="C94" i="41"/>
  <c r="D94" i="41"/>
  <c r="D95" i="41" s="1"/>
  <c r="B97" i="41"/>
  <c r="B98" i="41"/>
  <c r="B99" i="41"/>
  <c r="C100" i="41"/>
  <c r="C101" i="41" s="1"/>
  <c r="D100" i="41"/>
  <c r="H40" i="41"/>
  <c r="H38" i="41"/>
  <c r="H36" i="41"/>
  <c r="H34" i="41"/>
  <c r="H32" i="41"/>
  <c r="H30" i="41"/>
  <c r="E115" i="2"/>
  <c r="E88" i="35"/>
  <c r="D88" i="35"/>
  <c r="E67" i="35"/>
  <c r="F67" i="35"/>
  <c r="D67" i="35"/>
  <c r="A69" i="35"/>
  <c r="A71" i="35" s="1"/>
  <c r="E80" i="35"/>
  <c r="D80" i="35"/>
  <c r="F79" i="35"/>
  <c r="F78" i="35"/>
  <c r="F77" i="35"/>
  <c r="F76" i="35"/>
  <c r="F75" i="35"/>
  <c r="F71" i="35"/>
  <c r="L111" i="2" s="1"/>
  <c r="F69" i="35"/>
  <c r="G111" i="2" s="1"/>
  <c r="A11" i="35"/>
  <c r="A12" i="35" s="1"/>
  <c r="A13" i="35" s="1"/>
  <c r="A14" i="35" s="1"/>
  <c r="A15" i="35" s="1"/>
  <c r="A16" i="35" s="1"/>
  <c r="A17" i="35" s="1"/>
  <c r="A18" i="35" s="1"/>
  <c r="A19" i="35" s="1"/>
  <c r="A20" i="35" s="1"/>
  <c r="A21" i="35" s="1"/>
  <c r="A22" i="35" s="1"/>
  <c r="A23" i="35" s="1"/>
  <c r="A2" i="35"/>
  <c r="I59" i="30"/>
  <c r="I58" i="30"/>
  <c r="I55" i="30"/>
  <c r="I51" i="30"/>
  <c r="I47" i="30"/>
  <c r="I46" i="30"/>
  <c r="I45" i="30"/>
  <c r="I44" i="30"/>
  <c r="B21" i="7"/>
  <c r="K27" i="8"/>
  <c r="K31" i="8" s="1"/>
  <c r="G15" i="2" s="1"/>
  <c r="L15" i="2" s="1"/>
  <c r="I27" i="8"/>
  <c r="I31" i="8" s="1"/>
  <c r="B11" i="7"/>
  <c r="E69" i="30"/>
  <c r="E26" i="11" s="1"/>
  <c r="D33" i="9"/>
  <c r="G152" i="2" s="1"/>
  <c r="O83" i="13"/>
  <c r="P83" i="13"/>
  <c r="J21" i="8"/>
  <c r="J19" i="8"/>
  <c r="J17" i="8"/>
  <c r="J15" i="8"/>
  <c r="J13" i="8"/>
  <c r="L89" i="13"/>
  <c r="L97" i="13"/>
  <c r="C102" i="13"/>
  <c r="C103" i="13" s="1"/>
  <c r="C104" i="13" s="1"/>
  <c r="C105" i="13" s="1"/>
  <c r="C106" i="13" s="1"/>
  <c r="C107" i="13" s="1"/>
  <c r="C108" i="13" s="1"/>
  <c r="C109" i="13" s="1"/>
  <c r="C110" i="13" s="1"/>
  <c r="C111" i="13" s="1"/>
  <c r="C112" i="13" s="1"/>
  <c r="C113" i="13" s="1"/>
  <c r="C114" i="13" s="1"/>
  <c r="C115" i="13" s="1"/>
  <c r="C116" i="13" s="1"/>
  <c r="C117" i="13" s="1"/>
  <c r="C118" i="13" s="1"/>
  <c r="C119" i="13" s="1"/>
  <c r="C120" i="13" s="1"/>
  <c r="C121" i="13" s="1"/>
  <c r="C122" i="13" s="1"/>
  <c r="C123" i="13" s="1"/>
  <c r="C124" i="13" s="1"/>
  <c r="C125" i="13" s="1"/>
  <c r="C126" i="13" s="1"/>
  <c r="C127" i="13" s="1"/>
  <c r="C128" i="13" s="1"/>
  <c r="C129" i="13" s="1"/>
  <c r="C130" i="13" s="1"/>
  <c r="C131" i="13" s="1"/>
  <c r="C132" i="13" s="1"/>
  <c r="C133" i="13" s="1"/>
  <c r="C134" i="13" s="1"/>
  <c r="C135" i="13" s="1"/>
  <c r="C136" i="13" s="1"/>
  <c r="C137" i="13" s="1"/>
  <c r="C138" i="13" s="1"/>
  <c r="C139" i="13" s="1"/>
  <c r="C140" i="13" s="1"/>
  <c r="C141" i="13" s="1"/>
  <c r="C142" i="13" s="1"/>
  <c r="C143" i="13" s="1"/>
  <c r="C144" i="13" s="1"/>
  <c r="C145" i="13" s="1"/>
  <c r="C146" i="13" s="1"/>
  <c r="C147" i="13" s="1"/>
  <c r="C148" i="13" s="1"/>
  <c r="C149" i="13" s="1"/>
  <c r="C150" i="13" s="1"/>
  <c r="C151" i="13" s="1"/>
  <c r="C152" i="13" s="1"/>
  <c r="C153" i="13" s="1"/>
  <c r="C154" i="13" s="1"/>
  <c r="C155" i="13" s="1"/>
  <c r="C156" i="13" s="1"/>
  <c r="C157" i="13" s="1"/>
  <c r="C158" i="13" s="1"/>
  <c r="C159" i="13" s="1"/>
  <c r="C160" i="13" s="1"/>
  <c r="C161" i="13" s="1"/>
  <c r="D102" i="13"/>
  <c r="M102" i="13"/>
  <c r="O102" i="13"/>
  <c r="M119" i="13"/>
  <c r="O119" i="13"/>
  <c r="M120" i="13"/>
  <c r="O120" i="13"/>
  <c r="M121" i="13"/>
  <c r="O121" i="13"/>
  <c r="M122" i="13"/>
  <c r="O122" i="13"/>
  <c r="M123" i="13"/>
  <c r="O123" i="13"/>
  <c r="M124" i="13"/>
  <c r="O124" i="13"/>
  <c r="M125" i="13"/>
  <c r="O125" i="13"/>
  <c r="M126" i="13"/>
  <c r="O126" i="13"/>
  <c r="M127" i="13"/>
  <c r="O127" i="13"/>
  <c r="M128" i="13"/>
  <c r="O128" i="13"/>
  <c r="M129" i="13"/>
  <c r="O129" i="13"/>
  <c r="M130" i="13"/>
  <c r="O130" i="13"/>
  <c r="M131" i="13"/>
  <c r="O131" i="13"/>
  <c r="M132" i="13"/>
  <c r="O132" i="13"/>
  <c r="M133" i="13"/>
  <c r="O133" i="13"/>
  <c r="M134" i="13"/>
  <c r="O134" i="13"/>
  <c r="M135" i="13"/>
  <c r="O135" i="13"/>
  <c r="M136" i="13"/>
  <c r="O136" i="13"/>
  <c r="M137" i="13"/>
  <c r="O137" i="13"/>
  <c r="M138" i="13"/>
  <c r="O138" i="13"/>
  <c r="M139" i="13"/>
  <c r="O139" i="13"/>
  <c r="M140" i="13"/>
  <c r="O140" i="13"/>
  <c r="M141" i="13"/>
  <c r="O141" i="13"/>
  <c r="M142" i="13"/>
  <c r="O142" i="13"/>
  <c r="M143" i="13"/>
  <c r="O143" i="13"/>
  <c r="M144" i="13"/>
  <c r="O144" i="13"/>
  <c r="M145" i="13"/>
  <c r="O145" i="13"/>
  <c r="M146" i="13"/>
  <c r="O146" i="13"/>
  <c r="M147" i="13"/>
  <c r="O147" i="13"/>
  <c r="M148" i="13"/>
  <c r="O148" i="13"/>
  <c r="M149" i="13"/>
  <c r="O149" i="13"/>
  <c r="M150" i="13"/>
  <c r="O150" i="13"/>
  <c r="M151" i="13"/>
  <c r="O151" i="13"/>
  <c r="M152" i="13"/>
  <c r="O152" i="13"/>
  <c r="M153" i="13"/>
  <c r="O153" i="13"/>
  <c r="M154" i="13"/>
  <c r="O154" i="13"/>
  <c r="M155" i="13"/>
  <c r="O155" i="13"/>
  <c r="M156" i="13"/>
  <c r="O156" i="13"/>
  <c r="M157" i="13"/>
  <c r="O157" i="13"/>
  <c r="M158" i="13"/>
  <c r="O158" i="13"/>
  <c r="M159" i="13"/>
  <c r="O159" i="13"/>
  <c r="M160" i="13"/>
  <c r="O160" i="13"/>
  <c r="M161" i="13"/>
  <c r="O161" i="13"/>
  <c r="A6" i="30"/>
  <c r="E116" i="30"/>
  <c r="E39" i="11" s="1"/>
  <c r="M39" i="11" s="1"/>
  <c r="E107" i="30"/>
  <c r="E37" i="11" s="1"/>
  <c r="K37" i="11" s="1"/>
  <c r="E90" i="30"/>
  <c r="E35" i="11" s="1"/>
  <c r="K35" i="11" s="1"/>
  <c r="E81" i="30"/>
  <c r="E33" i="11" s="1"/>
  <c r="M33" i="11" s="1"/>
  <c r="E71" i="30"/>
  <c r="E56" i="30"/>
  <c r="D21" i="9"/>
  <c r="G154" i="2" s="1"/>
  <c r="D311" i="2"/>
  <c r="L26" i="20"/>
  <c r="A4" i="21"/>
  <c r="A4" i="30"/>
  <c r="A4" i="11"/>
  <c r="A4" i="10"/>
  <c r="A4" i="9"/>
  <c r="A4" i="8"/>
  <c r="A4" i="7"/>
  <c r="A4" i="6"/>
  <c r="A4" i="5"/>
  <c r="F7" i="2"/>
  <c r="F56" i="2" s="1"/>
  <c r="F136" i="2" s="1"/>
  <c r="F226" i="2" s="1"/>
  <c r="F280" i="2" s="1"/>
  <c r="F16" i="13"/>
  <c r="F18" i="13" s="1"/>
  <c r="E23" i="13" s="1"/>
  <c r="F16" i="20"/>
  <c r="F18" i="20" s="1"/>
  <c r="E23" i="20" s="1"/>
  <c r="L18" i="2"/>
  <c r="B13" i="2"/>
  <c r="C47" i="13" s="1"/>
  <c r="D31" i="6"/>
  <c r="O8" i="20"/>
  <c r="E22" i="11"/>
  <c r="G22" i="11" s="1"/>
  <c r="M71" i="11" s="1"/>
  <c r="E17" i="11"/>
  <c r="M17" i="11" s="1"/>
  <c r="E77" i="30"/>
  <c r="E30" i="11" s="1"/>
  <c r="M30" i="11" s="1"/>
  <c r="L249" i="2"/>
  <c r="L251" i="2"/>
  <c r="L253" i="2"/>
  <c r="L254" i="2"/>
  <c r="F255" i="2"/>
  <c r="G255" i="2"/>
  <c r="C21" i="7"/>
  <c r="C23" i="7" s="1"/>
  <c r="G129" i="2" s="1"/>
  <c r="L129" i="2" s="1"/>
  <c r="E67" i="30"/>
  <c r="E25" i="11" s="1"/>
  <c r="I25" i="11" s="1"/>
  <c r="E38" i="30"/>
  <c r="E21" i="11" s="1"/>
  <c r="G21" i="11" s="1"/>
  <c r="E110" i="30"/>
  <c r="E119" i="30"/>
  <c r="E40" i="11" s="1"/>
  <c r="M40" i="11" s="1"/>
  <c r="E34" i="11"/>
  <c r="K34" i="11" s="1"/>
  <c r="E100" i="30"/>
  <c r="E36" i="11" s="1"/>
  <c r="K36" i="11" s="1"/>
  <c r="G169" i="2"/>
  <c r="O17" i="21"/>
  <c r="O22" i="21"/>
  <c r="O27" i="21"/>
  <c r="I17" i="6"/>
  <c r="G119" i="2" s="1"/>
  <c r="I21" i="6"/>
  <c r="G121" i="2" s="1"/>
  <c r="I23" i="6"/>
  <c r="G122" i="2" s="1"/>
  <c r="A24" i="9"/>
  <c r="A25" i="9" s="1"/>
  <c r="A26" i="9" s="1"/>
  <c r="A27" i="9" s="1"/>
  <c r="A28" i="9" s="1"/>
  <c r="A29" i="9" s="1"/>
  <c r="A30" i="9" s="1"/>
  <c r="A31" i="9" s="1"/>
  <c r="A32" i="9" s="1"/>
  <c r="A33" i="9" s="1"/>
  <c r="A15" i="7"/>
  <c r="A17" i="7" s="1"/>
  <c r="A18" i="7" s="1"/>
  <c r="A19" i="7" s="1"/>
  <c r="A21" i="7" s="1"/>
  <c r="A17" i="6"/>
  <c r="A21" i="6" s="1"/>
  <c r="A23" i="6" s="1"/>
  <c r="A29" i="6" s="1"/>
  <c r="A31" i="6" s="1"/>
  <c r="A32" i="6" s="1"/>
  <c r="A33" i="6" s="1"/>
  <c r="A39" i="6" s="1"/>
  <c r="A41" i="6" s="1"/>
  <c r="A15" i="30"/>
  <c r="A26" i="30" s="1"/>
  <c r="A28" i="30" s="1"/>
  <c r="A38" i="30" s="1"/>
  <c r="A49" i="30" s="1"/>
  <c r="A57" i="30" s="1"/>
  <c r="A66" i="30" s="1"/>
  <c r="A67" i="30" s="1"/>
  <c r="A69" i="30" s="1"/>
  <c r="A71" i="30" s="1"/>
  <c r="A77" i="30" s="1"/>
  <c r="A78" i="30" s="1"/>
  <c r="A80" i="30" s="1"/>
  <c r="A81" i="30" s="1"/>
  <c r="A85" i="30" s="1"/>
  <c r="A90" i="30" s="1"/>
  <c r="A100" i="30" s="1"/>
  <c r="A107" i="30" s="1"/>
  <c r="A110" i="30" s="1"/>
  <c r="A116" i="30" s="1"/>
  <c r="A119" i="30" s="1"/>
  <c r="A122" i="30" s="1"/>
  <c r="G215" i="2"/>
  <c r="L215" i="2" s="1"/>
  <c r="A17" i="11"/>
  <c r="A19" i="11" s="1"/>
  <c r="A20" i="11" s="1"/>
  <c r="A21" i="11" s="1"/>
  <c r="A22" i="11" s="1"/>
  <c r="A24" i="11" s="1"/>
  <c r="A25" i="11" s="1"/>
  <c r="A26" i="11" s="1"/>
  <c r="A27" i="11" s="1"/>
  <c r="A29" i="11" s="1"/>
  <c r="A30" i="11" s="1"/>
  <c r="A32" i="11" s="1"/>
  <c r="A33" i="11" s="1"/>
  <c r="A34" i="11" s="1"/>
  <c r="A35" i="11" s="1"/>
  <c r="A36" i="11" s="1"/>
  <c r="A37" i="11" s="1"/>
  <c r="A38" i="11" s="1"/>
  <c r="A39" i="11" s="1"/>
  <c r="A40" i="11" s="1"/>
  <c r="A41" i="11" s="1"/>
  <c r="A42" i="11" s="1"/>
  <c r="E191" i="2" s="1"/>
  <c r="D32" i="6"/>
  <c r="I50" i="5"/>
  <c r="J29" i="8"/>
  <c r="A4" i="13"/>
  <c r="A4" i="20"/>
  <c r="C60" i="13"/>
  <c r="L180" i="2"/>
  <c r="G167" i="2"/>
  <c r="K33" i="21"/>
  <c r="A22" i="21"/>
  <c r="A27" i="21" s="1"/>
  <c r="A33" i="21" s="1"/>
  <c r="D217" i="2" s="1"/>
  <c r="L175" i="2"/>
  <c r="A6" i="21"/>
  <c r="D12" i="9"/>
  <c r="C32" i="6"/>
  <c r="I12" i="6"/>
  <c r="I10" i="5"/>
  <c r="C9" i="7"/>
  <c r="M23" i="13"/>
  <c r="M20" i="13"/>
  <c r="N8" i="20"/>
  <c r="C11" i="20"/>
  <c r="C14" i="20"/>
  <c r="C18" i="20"/>
  <c r="C26" i="20"/>
  <c r="C32" i="20"/>
  <c r="C42" i="20"/>
  <c r="C43" i="20"/>
  <c r="C53" i="20"/>
  <c r="C55" i="20"/>
  <c r="C58" i="20"/>
  <c r="C60" i="20"/>
  <c r="C62" i="20"/>
  <c r="C65" i="20"/>
  <c r="C66" i="20"/>
  <c r="C68" i="20"/>
  <c r="C69" i="20"/>
  <c r="C71" i="20"/>
  <c r="B6" i="14"/>
  <c r="H249" i="2"/>
  <c r="H250" i="2"/>
  <c r="D68" i="6"/>
  <c r="B66" i="6" s="1"/>
  <c r="G12" i="6"/>
  <c r="G10" i="5"/>
  <c r="B4" i="14"/>
  <c r="O8" i="13"/>
  <c r="P8" i="13"/>
  <c r="C11" i="13"/>
  <c r="C14" i="13"/>
  <c r="C18" i="13"/>
  <c r="C26" i="13"/>
  <c r="C32" i="13"/>
  <c r="C42" i="13"/>
  <c r="C43" i="13"/>
  <c r="C53" i="13"/>
  <c r="C55" i="13"/>
  <c r="C58" i="13"/>
  <c r="C62" i="13"/>
  <c r="C65" i="13"/>
  <c r="C66" i="13"/>
  <c r="C68" i="13"/>
  <c r="C69" i="13"/>
  <c r="C71" i="13"/>
  <c r="A4" i="12"/>
  <c r="A6" i="12"/>
  <c r="C49" i="11"/>
  <c r="M53" i="11"/>
  <c r="C60" i="11"/>
  <c r="M64" i="11"/>
  <c r="A3" i="6"/>
  <c r="A3" i="7" s="1"/>
  <c r="A15" i="8"/>
  <c r="A17" i="8" s="1"/>
  <c r="A19" i="8" s="1"/>
  <c r="A21" i="8" s="1"/>
  <c r="A27" i="8" s="1"/>
  <c r="A29" i="8" s="1"/>
  <c r="A31" i="8" s="1"/>
  <c r="A39" i="8" s="1"/>
  <c r="E12" i="6"/>
  <c r="C31" i="6"/>
  <c r="D38" i="6"/>
  <c r="B36" i="6" s="1"/>
  <c r="E10" i="5"/>
  <c r="A17" i="5"/>
  <c r="A18" i="5" s="1"/>
  <c r="A19" i="5" s="1"/>
  <c r="A20" i="5" s="1"/>
  <c r="A23" i="5" s="1"/>
  <c r="A25" i="5" s="1"/>
  <c r="F54" i="2"/>
  <c r="F134" i="2" s="1"/>
  <c r="F224" i="2" s="1"/>
  <c r="F278" i="2" s="1"/>
  <c r="F55" i="2"/>
  <c r="F135" i="2" s="1"/>
  <c r="F225" i="2" s="1"/>
  <c r="F279" i="2" s="1"/>
  <c r="F58" i="2"/>
  <c r="F138" i="2" s="1"/>
  <c r="F228" i="2" s="1"/>
  <c r="F282" i="2" s="1"/>
  <c r="B64" i="2"/>
  <c r="B144" i="2" s="1"/>
  <c r="B65" i="2"/>
  <c r="B145" i="2" s="1"/>
  <c r="D80" i="2"/>
  <c r="D94" i="2" s="1"/>
  <c r="D82" i="2"/>
  <c r="D95" i="2" s="1"/>
  <c r="D84" i="2"/>
  <c r="D96" i="2" s="1"/>
  <c r="D86" i="2"/>
  <c r="D97" i="2" s="1"/>
  <c r="D88" i="2"/>
  <c r="D98" i="2" s="1"/>
  <c r="E142" i="2"/>
  <c r="L142" i="2"/>
  <c r="E143" i="2"/>
  <c r="G143" i="2"/>
  <c r="I143" i="2"/>
  <c r="L143" i="2"/>
  <c r="G151" i="2"/>
  <c r="D181" i="2"/>
  <c r="H253" i="2"/>
  <c r="H254" i="2"/>
  <c r="L179" i="2"/>
  <c r="F122" i="30"/>
  <c r="G124" i="30" s="1"/>
  <c r="G31" i="6"/>
  <c r="I32" i="6"/>
  <c r="I57" i="30"/>
  <c r="I34" i="5"/>
  <c r="E31" i="6"/>
  <c r="C189" i="38"/>
  <c r="I26" i="5"/>
  <c r="K31" i="6"/>
  <c r="J31" i="6"/>
  <c r="I31" i="6"/>
  <c r="E20" i="11"/>
  <c r="G20" i="11" s="1"/>
  <c r="G21" i="38"/>
  <c r="E27" i="11" l="1"/>
  <c r="I27" i="11" s="1"/>
  <c r="A42" i="6"/>
  <c r="A43" i="6" s="1"/>
  <c r="A44" i="6" s="1"/>
  <c r="A45" i="6" s="1"/>
  <c r="A46" i="6" s="1"/>
  <c r="A47" i="6" s="1"/>
  <c r="A48" i="6" s="1"/>
  <c r="A49" i="6" s="1"/>
  <c r="A50" i="6" s="1"/>
  <c r="E76" i="2"/>
  <c r="E75" i="2"/>
  <c r="L66" i="2"/>
  <c r="G77" i="2"/>
  <c r="F37" i="10"/>
  <c r="F356" i="2" s="1"/>
  <c r="G197" i="2" s="1"/>
  <c r="G48" i="20"/>
  <c r="N699" i="13"/>
  <c r="B15" i="2"/>
  <c r="B18" i="2" s="1"/>
  <c r="B20" i="2" s="1"/>
  <c r="B27" i="2" s="1"/>
  <c r="B29" i="2" s="1"/>
  <c r="B30" i="2" s="1"/>
  <c r="E31" i="2" s="1"/>
  <c r="N177" i="13"/>
  <c r="F48" i="13"/>
  <c r="C47" i="20"/>
  <c r="M177" i="13"/>
  <c r="N90" i="13"/>
  <c r="A174" i="38"/>
  <c r="D34" i="5" s="1"/>
  <c r="I49" i="5"/>
  <c r="I51" i="5" s="1"/>
  <c r="G108" i="2" s="1"/>
  <c r="E26" i="30"/>
  <c r="G51" i="5"/>
  <c r="D21" i="47"/>
  <c r="D22" i="47" s="1"/>
  <c r="D23" i="47" s="1"/>
  <c r="I54" i="49"/>
  <c r="H21" i="49"/>
  <c r="K21" i="49" s="1"/>
  <c r="C654" i="13"/>
  <c r="C655" i="13" s="1"/>
  <c r="C656" i="13" s="1"/>
  <c r="C657" i="13" s="1"/>
  <c r="C658" i="13" s="1"/>
  <c r="C659" i="13" s="1"/>
  <c r="C660" i="13" s="1"/>
  <c r="C661" i="13" s="1"/>
  <c r="C662" i="13" s="1"/>
  <c r="C663" i="13" s="1"/>
  <c r="C664" i="13" s="1"/>
  <c r="C665" i="13" s="1"/>
  <c r="C666" i="13" s="1"/>
  <c r="C667" i="13" s="1"/>
  <c r="C668" i="13" s="1"/>
  <c r="C669" i="13" s="1"/>
  <c r="C670" i="13" s="1"/>
  <c r="C671" i="13" s="1"/>
  <c r="C672" i="13" s="1"/>
  <c r="C673" i="13" s="1"/>
  <c r="C674" i="13" s="1"/>
  <c r="C675" i="13" s="1"/>
  <c r="C676" i="13" s="1"/>
  <c r="C677" i="13" s="1"/>
  <c r="C678" i="13" s="1"/>
  <c r="C679" i="13" s="1"/>
  <c r="C680" i="13" s="1"/>
  <c r="C681" i="13" s="1"/>
  <c r="C682" i="13" s="1"/>
  <c r="C683" i="13" s="1"/>
  <c r="N612" i="13"/>
  <c r="B23" i="7"/>
  <c r="A23" i="7"/>
  <c r="E111" i="2"/>
  <c r="A75" i="35"/>
  <c r="A76" i="35" s="1"/>
  <c r="A77" i="35" s="1"/>
  <c r="A78" i="35" s="1"/>
  <c r="A79" i="35" s="1"/>
  <c r="A80" i="35" s="1"/>
  <c r="H23" i="49"/>
  <c r="K23" i="49" s="1"/>
  <c r="E89" i="41"/>
  <c r="C306" i="13"/>
  <c r="C307" i="13" s="1"/>
  <c r="C308" i="13" s="1"/>
  <c r="C309" i="13" s="1"/>
  <c r="C310" i="13" s="1"/>
  <c r="C311" i="13" s="1"/>
  <c r="C312" i="13" s="1"/>
  <c r="C313" i="13" s="1"/>
  <c r="C314" i="13" s="1"/>
  <c r="C315" i="13" s="1"/>
  <c r="C316" i="13" s="1"/>
  <c r="C317" i="13" s="1"/>
  <c r="C318" i="13" s="1"/>
  <c r="C319" i="13" s="1"/>
  <c r="C320" i="13" s="1"/>
  <c r="C321" i="13" s="1"/>
  <c r="C322" i="13" s="1"/>
  <c r="C323" i="13" s="1"/>
  <c r="C324" i="13" s="1"/>
  <c r="C325" i="13" s="1"/>
  <c r="C326" i="13" s="1"/>
  <c r="C327" i="13" s="1"/>
  <c r="C328" i="13" s="1"/>
  <c r="C329" i="13" s="1"/>
  <c r="C330" i="13" s="1"/>
  <c r="C331" i="13" s="1"/>
  <c r="C332" i="13" s="1"/>
  <c r="C333" i="13" s="1"/>
  <c r="C334" i="13" s="1"/>
  <c r="C335" i="13" s="1"/>
  <c r="N264" i="13"/>
  <c r="M264" i="13"/>
  <c r="C480" i="13"/>
  <c r="C481" i="13" s="1"/>
  <c r="C482" i="13" s="1"/>
  <c r="C483" i="13" s="1"/>
  <c r="C484" i="13" s="1"/>
  <c r="C485" i="13" s="1"/>
  <c r="C486" i="13" s="1"/>
  <c r="C487" i="13" s="1"/>
  <c r="C488" i="13" s="1"/>
  <c r="C489" i="13" s="1"/>
  <c r="C490" i="13" s="1"/>
  <c r="C491" i="13" s="1"/>
  <c r="C492" i="13" s="1"/>
  <c r="C493" i="13" s="1"/>
  <c r="C494" i="13" s="1"/>
  <c r="C495" i="13" s="1"/>
  <c r="C496" i="13" s="1"/>
  <c r="C497" i="13" s="1"/>
  <c r="C498" i="13" s="1"/>
  <c r="C499" i="13" s="1"/>
  <c r="C500" i="13" s="1"/>
  <c r="C501" i="13" s="1"/>
  <c r="C502" i="13" s="1"/>
  <c r="C503" i="13" s="1"/>
  <c r="C504" i="13" s="1"/>
  <c r="C505" i="13" s="1"/>
  <c r="C506" i="13" s="1"/>
  <c r="C507" i="13" s="1"/>
  <c r="C508" i="13" s="1"/>
  <c r="C509" i="13" s="1"/>
  <c r="M438" i="13"/>
  <c r="N438" i="13"/>
  <c r="B28" i="48"/>
  <c r="A28" i="48"/>
  <c r="A37" i="48" s="1"/>
  <c r="A39" i="48" s="1"/>
  <c r="A41" i="48" s="1"/>
  <c r="C393" i="13"/>
  <c r="C394" i="13" s="1"/>
  <c r="C395" i="13" s="1"/>
  <c r="C396" i="13" s="1"/>
  <c r="C397" i="13" s="1"/>
  <c r="C398" i="13" s="1"/>
  <c r="C399" i="13" s="1"/>
  <c r="C400" i="13" s="1"/>
  <c r="C401" i="13" s="1"/>
  <c r="C402" i="13" s="1"/>
  <c r="C403" i="13" s="1"/>
  <c r="C404" i="13" s="1"/>
  <c r="C405" i="13" s="1"/>
  <c r="C406" i="13" s="1"/>
  <c r="C407" i="13" s="1"/>
  <c r="C408" i="13" s="1"/>
  <c r="C409" i="13" s="1"/>
  <c r="C410" i="13" s="1"/>
  <c r="C411" i="13" s="1"/>
  <c r="C412" i="13" s="1"/>
  <c r="C413" i="13" s="1"/>
  <c r="C414" i="13" s="1"/>
  <c r="C415" i="13" s="1"/>
  <c r="C416" i="13" s="1"/>
  <c r="C417" i="13" s="1"/>
  <c r="C418" i="13" s="1"/>
  <c r="C419" i="13" s="1"/>
  <c r="C420" i="13" s="1"/>
  <c r="C421" i="13" s="1"/>
  <c r="C422" i="13" s="1"/>
  <c r="N351" i="13"/>
  <c r="M351" i="13"/>
  <c r="N525" i="13"/>
  <c r="C567" i="13"/>
  <c r="C568" i="13" s="1"/>
  <c r="C569" i="13" s="1"/>
  <c r="C570" i="13" s="1"/>
  <c r="C571" i="13" s="1"/>
  <c r="C572" i="13" s="1"/>
  <c r="C573" i="13" s="1"/>
  <c r="C574" i="13" s="1"/>
  <c r="C575" i="13" s="1"/>
  <c r="C576" i="13" s="1"/>
  <c r="C577" i="13" s="1"/>
  <c r="C578" i="13" s="1"/>
  <c r="C579" i="13" s="1"/>
  <c r="C580" i="13" s="1"/>
  <c r="C581" i="13" s="1"/>
  <c r="C582" i="13" s="1"/>
  <c r="C583" i="13" s="1"/>
  <c r="C584" i="13" s="1"/>
  <c r="C585" i="13" s="1"/>
  <c r="C586" i="13" s="1"/>
  <c r="C587" i="13" s="1"/>
  <c r="C588" i="13" s="1"/>
  <c r="C589" i="13" s="1"/>
  <c r="C590" i="13" s="1"/>
  <c r="C591" i="13" s="1"/>
  <c r="C592" i="13" s="1"/>
  <c r="C593" i="13" s="1"/>
  <c r="C594" i="13" s="1"/>
  <c r="C595" i="13" s="1"/>
  <c r="C596" i="13" s="1"/>
  <c r="M525" i="13"/>
  <c r="E74" i="2"/>
  <c r="E71" i="2"/>
  <c r="I54" i="50"/>
  <c r="E88" i="41"/>
  <c r="I56" i="30"/>
  <c r="M699" i="13"/>
  <c r="E189" i="2"/>
  <c r="D20" i="5"/>
  <c r="C103" i="41"/>
  <c r="C105" i="41" s="1"/>
  <c r="S22" i="21"/>
  <c r="M612" i="13"/>
  <c r="M90" i="13"/>
  <c r="A47" i="11"/>
  <c r="A49" i="11" s="1"/>
  <c r="A50" i="11" s="1"/>
  <c r="H22" i="49"/>
  <c r="K22" i="49" s="1"/>
  <c r="A171" i="38"/>
  <c r="E35" i="5"/>
  <c r="E33" i="5"/>
  <c r="G43" i="5"/>
  <c r="G41" i="5"/>
  <c r="A3" i="8"/>
  <c r="G272" i="2"/>
  <c r="J272" i="2" s="1"/>
  <c r="D64" i="35"/>
  <c r="L82" i="2" s="1"/>
  <c r="G97" i="2"/>
  <c r="K47" i="11" s="1"/>
  <c r="K61" i="11" s="1"/>
  <c r="K63" i="11" s="1"/>
  <c r="K65" i="11" s="1"/>
  <c r="K67" i="11" s="1"/>
  <c r="K68" i="11" s="1"/>
  <c r="S27" i="21"/>
  <c r="F23" i="50"/>
  <c r="H22" i="50"/>
  <c r="K22" i="50" s="1"/>
  <c r="H21" i="50"/>
  <c r="K21" i="50" s="1"/>
  <c r="G170" i="38"/>
  <c r="G189" i="38"/>
  <c r="J189" i="38"/>
  <c r="I189" i="38"/>
  <c r="F23" i="38"/>
  <c r="S173" i="38"/>
  <c r="G98" i="2"/>
  <c r="G17" i="38"/>
  <c r="S17" i="21"/>
  <c r="E109" i="39"/>
  <c r="C109" i="39"/>
  <c r="E19" i="5"/>
  <c r="E17" i="5"/>
  <c r="G17" i="5"/>
  <c r="G19" i="5"/>
  <c r="C167" i="38"/>
  <c r="C173" i="38" s="1"/>
  <c r="I18" i="5"/>
  <c r="G19" i="38"/>
  <c r="C68" i="38"/>
  <c r="K167" i="38"/>
  <c r="K173" i="38" s="1"/>
  <c r="I167" i="38"/>
  <c r="I173" i="38" s="1"/>
  <c r="G96" i="2"/>
  <c r="I47" i="11" s="1"/>
  <c r="L237" i="2"/>
  <c r="L68" i="2" s="1"/>
  <c r="G95" i="2"/>
  <c r="G47" i="11" s="1"/>
  <c r="L70" i="2"/>
  <c r="G42" i="11"/>
  <c r="G191" i="2" s="1"/>
  <c r="E38" i="11"/>
  <c r="M38" i="11" s="1"/>
  <c r="M42" i="11" s="1"/>
  <c r="G192" i="2" s="1"/>
  <c r="L192" i="2" s="1"/>
  <c r="I26" i="11"/>
  <c r="F88" i="35"/>
  <c r="G115" i="2" s="1"/>
  <c r="P650" i="13"/>
  <c r="P662" i="13"/>
  <c r="P679" i="13"/>
  <c r="H42" i="41"/>
  <c r="G271" i="2" s="1"/>
  <c r="J27" i="8"/>
  <c r="J31" i="8" s="1"/>
  <c r="E74" i="9"/>
  <c r="P405" i="13"/>
  <c r="P506" i="13"/>
  <c r="P667" i="13"/>
  <c r="P671" i="13"/>
  <c r="P675" i="13"/>
  <c r="P762" i="13"/>
  <c r="P482" i="13"/>
  <c r="P474" i="13"/>
  <c r="G155" i="2"/>
  <c r="G118" i="2" s="1"/>
  <c r="L44" i="2"/>
  <c r="P385" i="13"/>
  <c r="P466" i="13"/>
  <c r="P486" i="13"/>
  <c r="P718" i="13"/>
  <c r="P722" i="13"/>
  <c r="P490" i="13"/>
  <c r="P635" i="13"/>
  <c r="P683" i="13"/>
  <c r="P750" i="13"/>
  <c r="P494" i="13"/>
  <c r="P651" i="13"/>
  <c r="P663" i="13"/>
  <c r="D33" i="6"/>
  <c r="P138" i="13"/>
  <c r="P218" i="13"/>
  <c r="P318" i="13"/>
  <c r="P159" i="13"/>
  <c r="P151" i="13"/>
  <c r="P135" i="13"/>
  <c r="P131" i="13"/>
  <c r="P127" i="13"/>
  <c r="P123" i="13"/>
  <c r="P205" i="13"/>
  <c r="P243" i="13"/>
  <c r="P305" i="13"/>
  <c r="P639" i="13"/>
  <c r="P655" i="13"/>
  <c r="P207" i="13"/>
  <c r="P209" i="13"/>
  <c r="P213" i="13"/>
  <c r="P221" i="13"/>
  <c r="P470" i="13"/>
  <c r="P643" i="13"/>
  <c r="P659" i="13"/>
  <c r="P746" i="13"/>
  <c r="P225" i="13"/>
  <c r="P215" i="13"/>
  <c r="P478" i="13"/>
  <c r="P647" i="13"/>
  <c r="P564" i="13"/>
  <c r="P158" i="13"/>
  <c r="P485" i="13"/>
  <c r="P157" i="13"/>
  <c r="P153" i="13"/>
  <c r="P129" i="13"/>
  <c r="P125" i="13"/>
  <c r="P206" i="13"/>
  <c r="P222" i="13"/>
  <c r="P226" i="13"/>
  <c r="P230" i="13"/>
  <c r="P234" i="13"/>
  <c r="P238" i="13"/>
  <c r="P290" i="13"/>
  <c r="P302" i="13"/>
  <c r="P310" i="13"/>
  <c r="P322" i="13"/>
  <c r="P334" i="13"/>
  <c r="P142" i="13"/>
  <c r="P223" i="13"/>
  <c r="P247" i="13"/>
  <c r="P143" i="13"/>
  <c r="P379" i="13"/>
  <c r="P383" i="13"/>
  <c r="P387" i="13"/>
  <c r="P391" i="13"/>
  <c r="P399" i="13"/>
  <c r="P403" i="13"/>
  <c r="P480" i="13"/>
  <c r="P484" i="13"/>
  <c r="P488" i="13"/>
  <c r="P764" i="13"/>
  <c r="P396" i="13"/>
  <c r="P420" i="13"/>
  <c r="P642" i="13"/>
  <c r="P682" i="13"/>
  <c r="P335" i="13"/>
  <c r="P141" i="13"/>
  <c r="P137" i="13"/>
  <c r="P121" i="13"/>
  <c r="P155" i="13"/>
  <c r="P408" i="13"/>
  <c r="P291" i="13"/>
  <c r="P299" i="13"/>
  <c r="P384" i="13"/>
  <c r="P388" i="13"/>
  <c r="P733" i="13"/>
  <c r="P741" i="13"/>
  <c r="P377" i="13"/>
  <c r="P502" i="13"/>
  <c r="H255" i="2"/>
  <c r="P390" i="13"/>
  <c r="P550" i="13"/>
  <c r="P566" i="13"/>
  <c r="P582" i="13"/>
  <c r="P590" i="13"/>
  <c r="P636" i="13"/>
  <c r="P640" i="13"/>
  <c r="P644" i="13"/>
  <c r="P652" i="13"/>
  <c r="P660" i="13"/>
  <c r="P664" i="13"/>
  <c r="P668" i="13"/>
  <c r="P672" i="13"/>
  <c r="P676" i="13"/>
  <c r="P680" i="13"/>
  <c r="P715" i="13"/>
  <c r="P735" i="13"/>
  <c r="P242" i="13"/>
  <c r="P246" i="13"/>
  <c r="P497" i="13"/>
  <c r="P501" i="13"/>
  <c r="P505" i="13"/>
  <c r="P552" i="13"/>
  <c r="P568" i="13"/>
  <c r="P161" i="13"/>
  <c r="P585" i="13"/>
  <c r="P204" i="13"/>
  <c r="P208" i="13"/>
  <c r="P212" i="13"/>
  <c r="P224" i="13"/>
  <c r="P308" i="13"/>
  <c r="P147" i="13"/>
  <c r="P231" i="13"/>
  <c r="P239" i="13"/>
  <c r="P375" i="13"/>
  <c r="P407" i="13"/>
  <c r="P464" i="13"/>
  <c r="P468" i="13"/>
  <c r="P472" i="13"/>
  <c r="P476" i="13"/>
  <c r="P492" i="13"/>
  <c r="P314" i="13"/>
  <c r="P326" i="13"/>
  <c r="P330" i="13"/>
  <c r="P556" i="13"/>
  <c r="P397" i="13"/>
  <c r="P421" i="13"/>
  <c r="P553" i="13"/>
  <c r="P557" i="13"/>
  <c r="P565" i="13"/>
  <c r="P569" i="13"/>
  <c r="P577" i="13"/>
  <c r="P754" i="13"/>
  <c r="P770" i="13"/>
  <c r="P140" i="13"/>
  <c r="P132" i="13"/>
  <c r="P124" i="13"/>
  <c r="P120" i="13"/>
  <c r="P394" i="13"/>
  <c r="P402" i="13"/>
  <c r="P503" i="13"/>
  <c r="P574" i="13"/>
  <c r="P586" i="13"/>
  <c r="P656" i="13"/>
  <c r="P229" i="13"/>
  <c r="P233" i="13"/>
  <c r="P237" i="13"/>
  <c r="P241" i="13"/>
  <c r="P245" i="13"/>
  <c r="P289" i="13"/>
  <c r="P293" i="13"/>
  <c r="P297" i="13"/>
  <c r="P301" i="13"/>
  <c r="P317" i="13"/>
  <c r="P325" i="13"/>
  <c r="P329" i="13"/>
  <c r="P333" i="13"/>
  <c r="P395" i="13"/>
  <c r="P583" i="13"/>
  <c r="P587" i="13"/>
  <c r="P591" i="13"/>
  <c r="P595" i="13"/>
  <c r="P641" i="13"/>
  <c r="P653" i="13"/>
  <c r="P661" i="13"/>
  <c r="P665" i="13"/>
  <c r="P669" i="13"/>
  <c r="P677" i="13"/>
  <c r="P681" i="13"/>
  <c r="P724" i="13"/>
  <c r="P728" i="13"/>
  <c r="P732" i="13"/>
  <c r="P736" i="13"/>
  <c r="P744" i="13"/>
  <c r="P154" i="13"/>
  <c r="P150" i="13"/>
  <c r="P146" i="13"/>
  <c r="P130" i="13"/>
  <c r="P765" i="13"/>
  <c r="P469" i="13"/>
  <c r="P481" i="13"/>
  <c r="P489" i="13"/>
  <c r="P381" i="13"/>
  <c r="P758" i="13"/>
  <c r="P149" i="13"/>
  <c r="P549" i="13"/>
  <c r="P561" i="13"/>
  <c r="P573" i="13"/>
  <c r="P734" i="13"/>
  <c r="P756" i="13"/>
  <c r="P760" i="13"/>
  <c r="P156" i="13"/>
  <c r="P410" i="13"/>
  <c r="P479" i="13"/>
  <c r="P495" i="13"/>
  <c r="P554" i="13"/>
  <c r="P739" i="13"/>
  <c r="P759" i="13"/>
  <c r="P217" i="13"/>
  <c r="P102" i="13"/>
  <c r="P202" i="13"/>
  <c r="P210" i="13"/>
  <c r="P214" i="13"/>
  <c r="P294" i="13"/>
  <c r="P298" i="13"/>
  <c r="P306" i="13"/>
  <c r="P411" i="13"/>
  <c r="P415" i="13"/>
  <c r="P419" i="13"/>
  <c r="P496" i="13"/>
  <c r="P500" i="13"/>
  <c r="P504" i="13"/>
  <c r="P508" i="13"/>
  <c r="P551" i="13"/>
  <c r="P637" i="13"/>
  <c r="P386" i="13"/>
  <c r="P562" i="13"/>
  <c r="P747" i="13"/>
  <c r="P755" i="13"/>
  <c r="P309" i="13"/>
  <c r="P588" i="13"/>
  <c r="P634" i="13"/>
  <c r="P638" i="13"/>
  <c r="P646" i="13"/>
  <c r="P654" i="13"/>
  <c r="P658" i="13"/>
  <c r="P666" i="13"/>
  <c r="P670" i="13"/>
  <c r="P674" i="13"/>
  <c r="P678" i="13"/>
  <c r="P761" i="13"/>
  <c r="P467" i="13"/>
  <c r="P499" i="13"/>
  <c r="P751" i="13"/>
  <c r="P134" i="13"/>
  <c r="P400" i="13"/>
  <c r="P404" i="13"/>
  <c r="P465" i="13"/>
  <c r="P473" i="13"/>
  <c r="P477" i="13"/>
  <c r="P493" i="13"/>
  <c r="P382" i="13"/>
  <c r="P414" i="13"/>
  <c r="P463" i="13"/>
  <c r="P507" i="13"/>
  <c r="P570" i="13"/>
  <c r="P648" i="13"/>
  <c r="P743" i="13"/>
  <c r="P313" i="13"/>
  <c r="P203" i="13"/>
  <c r="P211" i="13"/>
  <c r="P227" i="13"/>
  <c r="P323" i="13"/>
  <c r="P417" i="13"/>
  <c r="P160" i="13"/>
  <c r="P374" i="13"/>
  <c r="P558" i="13"/>
  <c r="P594" i="13"/>
  <c r="P731" i="13"/>
  <c r="P145" i="13"/>
  <c r="P220" i="13"/>
  <c r="P244" i="13"/>
  <c r="P248" i="13"/>
  <c r="P300" i="13"/>
  <c r="P316" i="13"/>
  <c r="P324" i="13"/>
  <c r="P328" i="13"/>
  <c r="P332" i="13"/>
  <c r="P393" i="13"/>
  <c r="P139" i="13"/>
  <c r="P509" i="13"/>
  <c r="P537" i="13"/>
  <c r="P560" i="13"/>
  <c r="P576" i="13"/>
  <c r="P580" i="13"/>
  <c r="P584" i="13"/>
  <c r="P592" i="13"/>
  <c r="P596" i="13"/>
  <c r="P717" i="13"/>
  <c r="P721" i="13"/>
  <c r="P729" i="13"/>
  <c r="P752" i="13"/>
  <c r="P768" i="13"/>
  <c r="P236" i="13"/>
  <c r="P320" i="13"/>
  <c r="P392" i="13"/>
  <c r="P412" i="13"/>
  <c r="P321" i="13"/>
  <c r="P401" i="13"/>
  <c r="P498" i="13"/>
  <c r="P228" i="13"/>
  <c r="P767" i="13"/>
  <c r="P122" i="13"/>
  <c r="P726" i="13"/>
  <c r="P753" i="13"/>
  <c r="P757" i="13"/>
  <c r="P232" i="13"/>
  <c r="P418" i="13"/>
  <c r="P471" i="13"/>
  <c r="P380" i="13"/>
  <c r="P128" i="13"/>
  <c r="P240" i="13"/>
  <c r="P740" i="13"/>
  <c r="P152" i="13"/>
  <c r="P144" i="13"/>
  <c r="P136" i="13"/>
  <c r="P216" i="13"/>
  <c r="P307" i="13"/>
  <c r="P331" i="13"/>
  <c r="P567" i="13"/>
  <c r="P579" i="13"/>
  <c r="P645" i="13"/>
  <c r="P716" i="13"/>
  <c r="P119" i="13"/>
  <c r="P295" i="13"/>
  <c r="P378" i="13"/>
  <c r="P409" i="13"/>
  <c r="P422" i="13"/>
  <c r="P475" i="13"/>
  <c r="P559" i="13"/>
  <c r="P649" i="13"/>
  <c r="P657" i="13"/>
  <c r="P673" i="13"/>
  <c r="P133" i="13"/>
  <c r="P126" i="13"/>
  <c r="P311" i="13"/>
  <c r="P315" i="13"/>
  <c r="P319" i="13"/>
  <c r="P416" i="13"/>
  <c r="P483" i="13"/>
  <c r="P487" i="13"/>
  <c r="P563" i="13"/>
  <c r="P581" i="13"/>
  <c r="P589" i="13"/>
  <c r="P723" i="13"/>
  <c r="P730" i="13"/>
  <c r="P737" i="13"/>
  <c r="P292" i="13"/>
  <c r="P296" i="13"/>
  <c r="P304" i="13"/>
  <c r="P327" i="13"/>
  <c r="P398" i="13"/>
  <c r="P406" i="13"/>
  <c r="P571" i="13"/>
  <c r="P578" i="13"/>
  <c r="P727" i="13"/>
  <c r="P748" i="13"/>
  <c r="P312" i="13"/>
  <c r="P376" i="13"/>
  <c r="P575" i="13"/>
  <c r="P219" i="13"/>
  <c r="P749" i="13"/>
  <c r="P373" i="13"/>
  <c r="P389" i="13"/>
  <c r="E266" i="2"/>
  <c r="A29" i="41"/>
  <c r="A30" i="41" s="1"/>
  <c r="A31" i="41" s="1"/>
  <c r="A32" i="41" s="1"/>
  <c r="A33" i="41" s="1"/>
  <c r="A34" i="41" s="1"/>
  <c r="A35" i="41" s="1"/>
  <c r="A36" i="41" s="1"/>
  <c r="A37" i="41" s="1"/>
  <c r="A38" i="41" s="1"/>
  <c r="A39" i="41" s="1"/>
  <c r="A40" i="41" s="1"/>
  <c r="A41" i="41" s="1"/>
  <c r="A42" i="41" s="1"/>
  <c r="E264" i="2"/>
  <c r="E267" i="2"/>
  <c r="A36" i="9"/>
  <c r="A37" i="9" s="1"/>
  <c r="A38" i="9" s="1"/>
  <c r="A39" i="9" s="1"/>
  <c r="A40" i="9" s="1"/>
  <c r="A41" i="9" s="1"/>
  <c r="A42" i="9" s="1"/>
  <c r="E152" i="2"/>
  <c r="F29" i="47"/>
  <c r="E67" i="2"/>
  <c r="A29" i="35"/>
  <c r="A30" i="35" s="1"/>
  <c r="A31" i="35" s="1"/>
  <c r="A32" i="35" s="1"/>
  <c r="A33" i="35" s="1"/>
  <c r="A34" i="35" s="1"/>
  <c r="A35" i="35" s="1"/>
  <c r="A36" i="35" s="1"/>
  <c r="A37" i="35" s="1"/>
  <c r="A38" i="35" s="1"/>
  <c r="A39" i="35" s="1"/>
  <c r="A40" i="35" s="1"/>
  <c r="A41" i="35" s="1"/>
  <c r="A42" i="35" s="1"/>
  <c r="E72" i="2"/>
  <c r="E69" i="2"/>
  <c r="E66" i="2"/>
  <c r="E73" i="2"/>
  <c r="E70" i="2"/>
  <c r="A26" i="5"/>
  <c r="A27" i="5" s="1"/>
  <c r="A28" i="5" s="1"/>
  <c r="A31" i="5" s="1"/>
  <c r="A33" i="5" s="1"/>
  <c r="F25" i="49"/>
  <c r="H24" i="49"/>
  <c r="K24" i="49" s="1"/>
  <c r="E167" i="38"/>
  <c r="E173" i="38" s="1"/>
  <c r="E94" i="41"/>
  <c r="C95" i="41"/>
  <c r="D167" i="38"/>
  <c r="D173" i="38" s="1"/>
  <c r="E193" i="2"/>
  <c r="E192" i="2"/>
  <c r="D101" i="41"/>
  <c r="E101" i="41" s="1"/>
  <c r="E100" i="41"/>
  <c r="D103" i="41"/>
  <c r="D105" i="41" s="1"/>
  <c r="E32" i="6"/>
  <c r="E33" i="6" s="1"/>
  <c r="G126" i="2" s="1"/>
  <c r="L126" i="2" s="1"/>
  <c r="I33" i="6"/>
  <c r="G124" i="2" s="1"/>
  <c r="K42" i="11"/>
  <c r="G193" i="2" s="1"/>
  <c r="J167" i="38"/>
  <c r="J173" i="38" s="1"/>
  <c r="I52" i="5"/>
  <c r="L108" i="2" s="1"/>
  <c r="J68" i="38"/>
  <c r="F80" i="35"/>
  <c r="G113" i="2" s="1"/>
  <c r="L113" i="2" s="1"/>
  <c r="J32" i="6"/>
  <c r="J33" i="6" s="1"/>
  <c r="G123" i="2" s="1"/>
  <c r="K32" i="6"/>
  <c r="K33" i="6" s="1"/>
  <c r="P148" i="13"/>
  <c r="F167" i="38"/>
  <c r="F173" i="38" s="1"/>
  <c r="O33" i="21"/>
  <c r="G217" i="2" s="1"/>
  <c r="G32" i="6"/>
  <c r="G33" i="6" s="1"/>
  <c r="G125" i="2" s="1"/>
  <c r="L125" i="2" s="1"/>
  <c r="P235" i="13"/>
  <c r="P303" i="13"/>
  <c r="P413" i="13"/>
  <c r="P555" i="13"/>
  <c r="P738" i="13"/>
  <c r="P769" i="13"/>
  <c r="P745" i="13"/>
  <c r="P766" i="13"/>
  <c r="P593" i="13"/>
  <c r="P714" i="13"/>
  <c r="P725" i="13"/>
  <c r="P742" i="13"/>
  <c r="P763" i="13"/>
  <c r="P491" i="13"/>
  <c r="P572" i="13"/>
  <c r="I42" i="11" l="1"/>
  <c r="G189" i="2" s="1"/>
  <c r="G194" i="2" s="1"/>
  <c r="A51" i="6"/>
  <c r="A52" i="6" s="1"/>
  <c r="A53" i="6" s="1"/>
  <c r="A54" i="6" s="1"/>
  <c r="A55" i="6" s="1"/>
  <c r="A56" i="6" s="1"/>
  <c r="A57" i="6" s="1"/>
  <c r="A58" i="6" s="1"/>
  <c r="A59" i="6" s="1"/>
  <c r="A60" i="6" s="1"/>
  <c r="A61" i="6" s="1"/>
  <c r="A62" i="6" s="1"/>
  <c r="A69"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E89" i="2"/>
  <c r="E90" i="2"/>
  <c r="N21" i="13"/>
  <c r="O21" i="13"/>
  <c r="L96" i="2"/>
  <c r="G201" i="2"/>
  <c r="J82" i="2"/>
  <c r="J181" i="2" s="1"/>
  <c r="L181" i="2" s="1"/>
  <c r="L48" i="2"/>
  <c r="E122" i="30"/>
  <c r="O699" i="13"/>
  <c r="O177" i="13"/>
  <c r="O90" i="13"/>
  <c r="A176" i="38"/>
  <c r="A178" i="38" s="1"/>
  <c r="A180" i="38" s="1"/>
  <c r="A182" i="38" s="1"/>
  <c r="A183" i="38" s="1"/>
  <c r="H22" i="47"/>
  <c r="K22" i="47" s="1"/>
  <c r="H21" i="47"/>
  <c r="K21" i="47" s="1"/>
  <c r="D33" i="2"/>
  <c r="B31" i="2"/>
  <c r="B33" i="2" s="1"/>
  <c r="B34" i="2" s="1"/>
  <c r="D36" i="2" s="1"/>
  <c r="O612" i="13"/>
  <c r="O438" i="13"/>
  <c r="E113" i="2"/>
  <c r="A84" i="35"/>
  <c r="O264" i="13"/>
  <c r="O351" i="13"/>
  <c r="O525" i="13"/>
  <c r="E159" i="2"/>
  <c r="D104" i="41"/>
  <c r="K50" i="11"/>
  <c r="K52" i="11" s="1"/>
  <c r="K54" i="11" s="1"/>
  <c r="K56" i="11" s="1"/>
  <c r="K57" i="11" s="1"/>
  <c r="E20" i="2"/>
  <c r="S33" i="21"/>
  <c r="L217" i="2" s="1"/>
  <c r="L239" i="2"/>
  <c r="G23" i="38"/>
  <c r="F24" i="50"/>
  <c r="H23" i="50"/>
  <c r="K23" i="50" s="1"/>
  <c r="E36" i="5"/>
  <c r="I35" i="5"/>
  <c r="G44" i="5"/>
  <c r="I19" i="5"/>
  <c r="E20" i="5"/>
  <c r="G36" i="5"/>
  <c r="I33" i="5"/>
  <c r="G28" i="5"/>
  <c r="I17" i="5"/>
  <c r="G104" i="2" s="1"/>
  <c r="G20" i="5"/>
  <c r="I50" i="11"/>
  <c r="I52" i="11" s="1"/>
  <c r="I54" i="11" s="1"/>
  <c r="I61" i="11"/>
  <c r="I63" i="11" s="1"/>
  <c r="G61" i="11"/>
  <c r="G63" i="11" s="1"/>
  <c r="G65" i="11" s="1"/>
  <c r="G50" i="11"/>
  <c r="H75" i="13"/>
  <c r="G75" i="20"/>
  <c r="J78" i="2"/>
  <c r="E42" i="11"/>
  <c r="A34" i="5"/>
  <c r="A35" i="5" s="1"/>
  <c r="A36" i="5" s="1"/>
  <c r="A39" i="5" s="1"/>
  <c r="A41" i="5" s="1"/>
  <c r="G127" i="2"/>
  <c r="D24" i="47"/>
  <c r="H23" i="47"/>
  <c r="K23" i="47" s="1"/>
  <c r="E83" i="2"/>
  <c r="E88" i="2"/>
  <c r="E81" i="2"/>
  <c r="E86" i="2"/>
  <c r="E87" i="2"/>
  <c r="E85" i="2"/>
  <c r="E82" i="2"/>
  <c r="A49" i="35"/>
  <c r="A50" i="35" s="1"/>
  <c r="A51" i="35" s="1"/>
  <c r="A52" i="35" s="1"/>
  <c r="A53" i="35" s="1"/>
  <c r="A54" i="35" s="1"/>
  <c r="A55" i="35" s="1"/>
  <c r="A56" i="35" s="1"/>
  <c r="A57" i="35" s="1"/>
  <c r="A58" i="35" s="1"/>
  <c r="A59" i="35" s="1"/>
  <c r="A60" i="35" s="1"/>
  <c r="A61" i="35" s="1"/>
  <c r="A62" i="35" s="1"/>
  <c r="E84" i="2"/>
  <c r="E80" i="2"/>
  <c r="A51" i="11"/>
  <c r="A52" i="11" s="1"/>
  <c r="F30" i="47"/>
  <c r="E22" i="20"/>
  <c r="E22" i="13"/>
  <c r="F26" i="49"/>
  <c r="H25" i="49"/>
  <c r="K25" i="49" s="1"/>
  <c r="E160" i="2"/>
  <c r="A43" i="48"/>
  <c r="C50" i="11"/>
  <c r="A48" i="41"/>
  <c r="A49" i="41" s="1"/>
  <c r="E168" i="2"/>
  <c r="A45" i="9"/>
  <c r="A46" i="9" s="1"/>
  <c r="A47" i="9" s="1"/>
  <c r="A48" i="9" s="1"/>
  <c r="A49" i="9" s="1"/>
  <c r="B43" i="48"/>
  <c r="C104" i="41"/>
  <c r="E95" i="41"/>
  <c r="E104" i="41" s="1"/>
  <c r="E103" i="41"/>
  <c r="D28" i="5"/>
  <c r="G167" i="38"/>
  <c r="G173" i="38" s="1"/>
  <c r="A50" i="9" l="1"/>
  <c r="A189" i="38"/>
  <c r="D52" i="5" s="1"/>
  <c r="G207" i="2"/>
  <c r="J83" i="2"/>
  <c r="L83" i="2" s="1"/>
  <c r="H76" i="13"/>
  <c r="H77" i="13" s="1"/>
  <c r="H78" i="13" s="1"/>
  <c r="H79" i="13" s="1"/>
  <c r="F59" i="13"/>
  <c r="G76" i="20"/>
  <c r="G77" i="20" s="1"/>
  <c r="G78" i="20" s="1"/>
  <c r="G79" i="20" s="1"/>
  <c r="D722" i="20" s="1"/>
  <c r="I723" i="20" s="1"/>
  <c r="E726" i="20" s="1"/>
  <c r="F726" i="20" s="1"/>
  <c r="D727" i="20" s="1"/>
  <c r="G59" i="20"/>
  <c r="C70" i="20"/>
  <c r="C70" i="13"/>
  <c r="B36" i="2"/>
  <c r="B37" i="2" s="1"/>
  <c r="B24" i="2" s="1"/>
  <c r="P21" i="13"/>
  <c r="C52" i="11"/>
  <c r="J155" i="2"/>
  <c r="L155" i="2" s="1"/>
  <c r="J119" i="2"/>
  <c r="L119" i="2" s="1"/>
  <c r="J250" i="2"/>
  <c r="L250" i="2" s="1"/>
  <c r="J169" i="2"/>
  <c r="L169" i="2" s="1"/>
  <c r="J168" i="2"/>
  <c r="J69" i="2"/>
  <c r="L69" i="2" s="1"/>
  <c r="F25" i="50"/>
  <c r="H24" i="50"/>
  <c r="K24" i="50" s="1"/>
  <c r="G106" i="2"/>
  <c r="I36" i="5"/>
  <c r="L106" i="2" s="1"/>
  <c r="I71" i="11"/>
  <c r="I20" i="5"/>
  <c r="L104" i="2" s="1"/>
  <c r="G52" i="11"/>
  <c r="A45" i="48"/>
  <c r="B47" i="48" s="1"/>
  <c r="H24" i="47"/>
  <c r="K24" i="47" s="1"/>
  <c r="D25" i="47"/>
  <c r="D236" i="2"/>
  <c r="D235" i="2"/>
  <c r="A50" i="41"/>
  <c r="A51" i="41" s="1"/>
  <c r="A52" i="41" s="1"/>
  <c r="A53" i="41" s="1"/>
  <c r="A54" i="41" s="1"/>
  <c r="A55" i="41" s="1"/>
  <c r="A56" i="41" s="1"/>
  <c r="H26" i="49"/>
  <c r="F27" i="49"/>
  <c r="A53" i="11"/>
  <c r="A54" i="11" s="1"/>
  <c r="D36" i="5"/>
  <c r="E105" i="41"/>
  <c r="L262" i="2"/>
  <c r="F31" i="47"/>
  <c r="I65" i="11"/>
  <c r="A42" i="5"/>
  <c r="A43" i="5" s="1"/>
  <c r="A44" i="5" s="1"/>
  <c r="A47" i="5" s="1"/>
  <c r="A49" i="5" s="1"/>
  <c r="I50" i="30"/>
  <c r="I49" i="30" s="1"/>
  <c r="A51" i="9" l="1"/>
  <c r="A52" i="9" s="1"/>
  <c r="A53" i="9" s="1"/>
  <c r="A54" i="9" s="1"/>
  <c r="A55" i="9" s="1"/>
  <c r="A56" i="9" s="1"/>
  <c r="A57" i="9" s="1"/>
  <c r="A58" i="9" s="1"/>
  <c r="A59" i="9" s="1"/>
  <c r="A60" i="9" s="1"/>
  <c r="A62" i="9" s="1"/>
  <c r="A28" i="39"/>
  <c r="A29" i="39" s="1"/>
  <c r="A30" i="39" s="1"/>
  <c r="A31" i="39" s="1"/>
  <c r="A32" i="39" s="1"/>
  <c r="A33" i="39" s="1"/>
  <c r="D1053" i="13"/>
  <c r="J1054" i="13" s="1"/>
  <c r="E1057" i="13" s="1"/>
  <c r="D1139" i="13"/>
  <c r="J1140" i="13" s="1"/>
  <c r="E1143" i="13" s="1"/>
  <c r="D881" i="13"/>
  <c r="J882" i="13" s="1"/>
  <c r="E885" i="13" s="1"/>
  <c r="F885" i="13" s="1"/>
  <c r="D886" i="13" s="1"/>
  <c r="E886" i="13" s="1"/>
  <c r="F886" i="13" s="1"/>
  <c r="D967" i="13"/>
  <c r="J968" i="13" s="1"/>
  <c r="E971" i="13" s="1"/>
  <c r="B39" i="2"/>
  <c r="B42" i="2" s="1"/>
  <c r="B44" i="2" s="1"/>
  <c r="B45" i="2" s="1"/>
  <c r="D533" i="13"/>
  <c r="D794" i="13"/>
  <c r="J795" i="13" s="1"/>
  <c r="E798" i="13" s="1"/>
  <c r="F798" i="13" s="1"/>
  <c r="G798" i="13" s="1"/>
  <c r="D272" i="13"/>
  <c r="J273" i="13" s="1"/>
  <c r="E276" i="13" s="1"/>
  <c r="F276" i="13" s="1"/>
  <c r="D277" i="13" s="1"/>
  <c r="D98" i="13"/>
  <c r="J99" i="13" s="1"/>
  <c r="E102" i="13" s="1"/>
  <c r="F102" i="13" s="1"/>
  <c r="D103" i="13" s="1"/>
  <c r="D359" i="13"/>
  <c r="J360" i="13" s="1"/>
  <c r="E363" i="13" s="1"/>
  <c r="F363" i="13" s="1"/>
  <c r="G363" i="13" s="1"/>
  <c r="D620" i="13"/>
  <c r="J621" i="13" s="1"/>
  <c r="E624" i="13" s="1"/>
  <c r="F624" i="13" s="1"/>
  <c r="G624" i="13" s="1"/>
  <c r="C54" i="11"/>
  <c r="D185" i="13"/>
  <c r="J186" i="13" s="1"/>
  <c r="E189" i="13" s="1"/>
  <c r="F189" i="13" s="1"/>
  <c r="D190" i="13" s="1"/>
  <c r="D446" i="13"/>
  <c r="J447" i="13" s="1"/>
  <c r="E450" i="13" s="1"/>
  <c r="F450" i="13" s="1"/>
  <c r="D451" i="13" s="1"/>
  <c r="D707" i="13"/>
  <c r="J708" i="13" s="1"/>
  <c r="E711" i="13" s="1"/>
  <c r="F711" i="13" s="1"/>
  <c r="D712" i="13" s="1"/>
  <c r="B56" i="41"/>
  <c r="D277" i="20"/>
  <c r="I278" i="20" s="1"/>
  <c r="E281" i="20" s="1"/>
  <c r="F281" i="20" s="1"/>
  <c r="D282" i="20" s="1"/>
  <c r="E282" i="20" s="1"/>
  <c r="F282" i="20" s="1"/>
  <c r="D283" i="20" s="1"/>
  <c r="D366" i="20"/>
  <c r="I367" i="20" s="1"/>
  <c r="E370" i="20" s="1"/>
  <c r="F370" i="20" s="1"/>
  <c r="D371" i="20" s="1"/>
  <c r="E371" i="20" s="1"/>
  <c r="F371" i="20" s="1"/>
  <c r="D372" i="20" s="1"/>
  <c r="D188" i="20"/>
  <c r="I189" i="20" s="1"/>
  <c r="E192" i="20" s="1"/>
  <c r="F192" i="20" s="1"/>
  <c r="D193" i="20" s="1"/>
  <c r="E193" i="20" s="1"/>
  <c r="D99" i="20"/>
  <c r="I100" i="20" s="1"/>
  <c r="E103" i="20" s="1"/>
  <c r="F103" i="20" s="1"/>
  <c r="D104" i="20" s="1"/>
  <c r="E104" i="20" s="1"/>
  <c r="D455" i="20"/>
  <c r="I456" i="20" s="1"/>
  <c r="E459" i="20" s="1"/>
  <c r="F459" i="20" s="1"/>
  <c r="D460" i="20" s="1"/>
  <c r="E460" i="20" s="1"/>
  <c r="F460" i="20" s="1"/>
  <c r="D461" i="20" s="1"/>
  <c r="D544" i="20"/>
  <c r="I545" i="20" s="1"/>
  <c r="E548" i="20" s="1"/>
  <c r="F548" i="20" s="1"/>
  <c r="D549" i="20" s="1"/>
  <c r="E549" i="20" s="1"/>
  <c r="F549" i="20" s="1"/>
  <c r="D550" i="20" s="1"/>
  <c r="D633" i="20"/>
  <c r="I634" i="20" s="1"/>
  <c r="E637" i="20" s="1"/>
  <c r="F637" i="20" s="1"/>
  <c r="D638" i="20" s="1"/>
  <c r="E638" i="20" s="1"/>
  <c r="F638" i="20" s="1"/>
  <c r="D639" i="20" s="1"/>
  <c r="L95" i="2"/>
  <c r="L255" i="2"/>
  <c r="L257" i="2" s="1"/>
  <c r="L118" i="2"/>
  <c r="F26" i="50"/>
  <c r="H25" i="50"/>
  <c r="K25" i="50" s="1"/>
  <c r="G54" i="11"/>
  <c r="A58" i="41"/>
  <c r="B58" i="41"/>
  <c r="E261" i="2"/>
  <c r="A47" i="48"/>
  <c r="C21" i="48" s="1"/>
  <c r="E161" i="2"/>
  <c r="A50" i="5"/>
  <c r="A51" i="5" s="1"/>
  <c r="A52" i="5" s="1"/>
  <c r="E727" i="20"/>
  <c r="F727" i="20" s="1"/>
  <c r="D728" i="20" s="1"/>
  <c r="F32" i="47"/>
  <c r="H27" i="49"/>
  <c r="K27" i="49" s="1"/>
  <c r="F28" i="49"/>
  <c r="K26" i="49"/>
  <c r="D44" i="5"/>
  <c r="A55" i="11"/>
  <c r="C55" i="11"/>
  <c r="D26" i="47"/>
  <c r="H25" i="47"/>
  <c r="K25" i="47" s="1"/>
  <c r="A65" i="9" l="1"/>
  <c r="A66" i="9" s="1"/>
  <c r="A67" i="9" s="1"/>
  <c r="A68" i="9" s="1"/>
  <c r="A69" i="9" s="1"/>
  <c r="A70" i="9" s="1"/>
  <c r="A71" i="9" s="1"/>
  <c r="A74" i="9" s="1"/>
  <c r="E170" i="2" s="1"/>
  <c r="E169" i="2"/>
  <c r="A34" i="39"/>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74" i="38"/>
  <c r="A75" i="38" s="1"/>
  <c r="A76" i="38" s="1"/>
  <c r="A77" i="38" s="1"/>
  <c r="A78" i="38" s="1"/>
  <c r="A79" i="38" s="1"/>
  <c r="A80" i="38" s="1"/>
  <c r="A81" i="38" s="1"/>
  <c r="A82" i="38" s="1"/>
  <c r="A83" i="38" s="1"/>
  <c r="A84" i="38" s="1"/>
  <c r="A85" i="38" s="1"/>
  <c r="A86" i="38" s="1"/>
  <c r="A87" i="38" s="1"/>
  <c r="A29" i="38"/>
  <c r="A30" i="38" s="1"/>
  <c r="A31" i="38" s="1"/>
  <c r="A32" i="38" s="1"/>
  <c r="A33" i="38" s="1"/>
  <c r="A34" i="38" s="1"/>
  <c r="A35" i="38" s="1"/>
  <c r="A36" i="38" s="1"/>
  <c r="A37" i="38" s="1"/>
  <c r="A38" i="38" s="1"/>
  <c r="A39" i="38" s="1"/>
  <c r="A40" i="38" s="1"/>
  <c r="A41" i="38" s="1"/>
  <c r="A42" i="38" s="1"/>
  <c r="A43" i="38" s="1"/>
  <c r="F1143" i="13"/>
  <c r="F1057" i="13"/>
  <c r="J534" i="13"/>
  <c r="E537" i="13" s="1"/>
  <c r="F537" i="13" s="1"/>
  <c r="G885" i="13"/>
  <c r="F971" i="13"/>
  <c r="J183" i="2"/>
  <c r="L183" i="2" s="1"/>
  <c r="D799" i="13"/>
  <c r="E799" i="13" s="1"/>
  <c r="G276" i="13"/>
  <c r="G102" i="13"/>
  <c r="D364" i="13"/>
  <c r="E364" i="13" s="1"/>
  <c r="F364" i="13" s="1"/>
  <c r="D365" i="13" s="1"/>
  <c r="D625" i="13"/>
  <c r="E625" i="13" s="1"/>
  <c r="G189" i="13"/>
  <c r="G450" i="13"/>
  <c r="G711" i="13"/>
  <c r="D51" i="5"/>
  <c r="J88" i="2"/>
  <c r="L88" i="2" s="1"/>
  <c r="J115" i="2"/>
  <c r="L115" i="2" s="1"/>
  <c r="J87" i="2"/>
  <c r="L87" i="2" s="1"/>
  <c r="J121" i="2"/>
  <c r="L121" i="2" s="1"/>
  <c r="J189" i="2"/>
  <c r="L189" i="2" s="1"/>
  <c r="J73" i="2"/>
  <c r="L73" i="2" s="1"/>
  <c r="J171" i="2"/>
  <c r="J74" i="2"/>
  <c r="L74" i="2" s="1"/>
  <c r="J72" i="2"/>
  <c r="L72" i="2" s="1"/>
  <c r="J182" i="2"/>
  <c r="L182" i="2" s="1"/>
  <c r="J165" i="2"/>
  <c r="J86" i="2"/>
  <c r="L86" i="2" s="1"/>
  <c r="J123" i="2"/>
  <c r="L123" i="2" s="1"/>
  <c r="F64" i="13"/>
  <c r="G64" i="20"/>
  <c r="F27" i="50"/>
  <c r="H26" i="50"/>
  <c r="K26" i="50" s="1"/>
  <c r="D887" i="13"/>
  <c r="G886" i="13"/>
  <c r="E461" i="20"/>
  <c r="F461" i="20" s="1"/>
  <c r="D462" i="20" s="1"/>
  <c r="E639" i="20"/>
  <c r="F639" i="20" s="1"/>
  <c r="D640" i="20" s="1"/>
  <c r="E728" i="20"/>
  <c r="F728" i="20" s="1"/>
  <c r="D729" i="20" s="1"/>
  <c r="E372" i="20"/>
  <c r="F372" i="20" s="1"/>
  <c r="D373" i="20" s="1"/>
  <c r="E451" i="13"/>
  <c r="D27" i="47"/>
  <c r="H26" i="47"/>
  <c r="K26" i="47" s="1"/>
  <c r="B46" i="2"/>
  <c r="D319" i="2" s="1"/>
  <c r="E190" i="13"/>
  <c r="F190" i="13" s="1"/>
  <c r="D191" i="13" s="1"/>
  <c r="F104" i="20"/>
  <c r="D105" i="20" s="1"/>
  <c r="E550" i="20"/>
  <c r="C56" i="11"/>
  <c r="A56" i="11"/>
  <c r="E103" i="13"/>
  <c r="F103" i="13" s="1"/>
  <c r="D104" i="13" s="1"/>
  <c r="E283" i="20"/>
  <c r="F283" i="20" s="1"/>
  <c r="D284" i="20" s="1"/>
  <c r="F39" i="47"/>
  <c r="F36" i="47"/>
  <c r="A61" i="41"/>
  <c r="D271" i="2"/>
  <c r="F29" i="49"/>
  <c r="H28" i="49"/>
  <c r="K28" i="49" s="1"/>
  <c r="E712" i="13"/>
  <c r="F712" i="13" s="1"/>
  <c r="E277" i="13"/>
  <c r="F193" i="20"/>
  <c r="D194" i="20" s="1"/>
  <c r="A88" i="38" l="1"/>
  <c r="A89" i="38" s="1"/>
  <c r="A90" i="38" s="1"/>
  <c r="A91" i="38" s="1"/>
  <c r="A92" i="38" s="1"/>
  <c r="A93" i="38" s="1"/>
  <c r="A94" i="38" s="1"/>
  <c r="A95" i="38" s="1"/>
  <c r="A96" i="38" s="1"/>
  <c r="A97" i="38" s="1"/>
  <c r="A98" i="38" s="1"/>
  <c r="A99" i="38" s="1"/>
  <c r="A100" i="38" s="1"/>
  <c r="A101" i="38" s="1"/>
  <c r="A102" i="38" s="1"/>
  <c r="A103" i="38" s="1"/>
  <c r="A104" i="38" s="1"/>
  <c r="A105" i="38" s="1"/>
  <c r="A106" i="38" s="1"/>
  <c r="A107" i="38" s="1"/>
  <c r="A108" i="38" s="1"/>
  <c r="A109" i="38" s="1"/>
  <c r="A110" i="38" s="1"/>
  <c r="A111" i="38" s="1"/>
  <c r="A112" i="38" s="1"/>
  <c r="A113" i="38" s="1"/>
  <c r="A114" i="38" s="1"/>
  <c r="A115" i="38" s="1"/>
  <c r="A116" i="38" s="1"/>
  <c r="A117" i="38" s="1"/>
  <c r="A118" i="38" s="1"/>
  <c r="A119" i="38" s="1"/>
  <c r="A120" i="38" s="1"/>
  <c r="A121" i="38" s="1"/>
  <c r="A122" i="38" s="1"/>
  <c r="A123" i="38" s="1"/>
  <c r="A124" i="38" s="1"/>
  <c r="A125" i="38" s="1"/>
  <c r="A126" i="38" s="1"/>
  <c r="A127" i="38" s="1"/>
  <c r="A128" i="38" s="1"/>
  <c r="A129" i="38" s="1"/>
  <c r="A130" i="38" s="1"/>
  <c r="A131" i="38" s="1"/>
  <c r="A132" i="38" s="1"/>
  <c r="A133" i="38" s="1"/>
  <c r="A134" i="38" s="1"/>
  <c r="A135" i="38" s="1"/>
  <c r="A136" i="38" s="1"/>
  <c r="A137" i="38" s="1"/>
  <c r="A138" i="38" s="1"/>
  <c r="A139" i="38" s="1"/>
  <c r="A140" i="38" s="1"/>
  <c r="A141" i="38" s="1"/>
  <c r="A142" i="38" s="1"/>
  <c r="A143" i="38" s="1"/>
  <c r="A144" i="38" s="1"/>
  <c r="A145" i="38" s="1"/>
  <c r="A146" i="38" s="1"/>
  <c r="A147" i="38" s="1"/>
  <c r="A44" i="38"/>
  <c r="A45" i="38" s="1"/>
  <c r="A46" i="38" s="1"/>
  <c r="A47" i="38" s="1"/>
  <c r="A48" i="38" s="1"/>
  <c r="A65" i="39"/>
  <c r="L185" i="2"/>
  <c r="L77" i="2"/>
  <c r="J77" i="2" s="1"/>
  <c r="D1058" i="13"/>
  <c r="G1057" i="13"/>
  <c r="D1144" i="13"/>
  <c r="G1143" i="13"/>
  <c r="G537" i="13"/>
  <c r="D538" i="13"/>
  <c r="E538" i="13" s="1"/>
  <c r="F538" i="13" s="1"/>
  <c r="D539" i="13" s="1"/>
  <c r="E539" i="13" s="1"/>
  <c r="F539" i="13" s="1"/>
  <c r="D540" i="13" s="1"/>
  <c r="D972" i="13"/>
  <c r="E972" i="13" s="1"/>
  <c r="G971" i="13"/>
  <c r="F799" i="13"/>
  <c r="D800" i="13" s="1"/>
  <c r="E800" i="13" s="1"/>
  <c r="F800" i="13" s="1"/>
  <c r="D801" i="13" s="1"/>
  <c r="E801" i="13" s="1"/>
  <c r="L98" i="2"/>
  <c r="L97" i="2"/>
  <c r="H27" i="50"/>
  <c r="K27" i="50" s="1"/>
  <c r="F28" i="50"/>
  <c r="E887" i="13"/>
  <c r="F887" i="13" s="1"/>
  <c r="G364" i="13"/>
  <c r="E284" i="20"/>
  <c r="F284" i="20" s="1"/>
  <c r="D285" i="20" s="1"/>
  <c r="D713" i="13"/>
  <c r="G712" i="13"/>
  <c r="E640" i="20"/>
  <c r="F640" i="20" s="1"/>
  <c r="D641" i="20" s="1"/>
  <c r="E729" i="20"/>
  <c r="F729" i="20" s="1"/>
  <c r="D730" i="20" s="1"/>
  <c r="A64" i="41"/>
  <c r="D63" i="41"/>
  <c r="F550" i="20"/>
  <c r="D551" i="20" s="1"/>
  <c r="E365" i="13"/>
  <c r="F365" i="13" s="1"/>
  <c r="D366" i="13" s="1"/>
  <c r="F40" i="47"/>
  <c r="G103" i="13"/>
  <c r="G190" i="13"/>
  <c r="F451" i="13"/>
  <c r="D28" i="47"/>
  <c r="H27" i="47"/>
  <c r="K27" i="47" s="1"/>
  <c r="E104" i="13"/>
  <c r="F104" i="13" s="1"/>
  <c r="B48" i="2"/>
  <c r="B66" i="2" s="1"/>
  <c r="E48" i="2"/>
  <c r="A57" i="11"/>
  <c r="C57" i="11"/>
  <c r="E105" i="20"/>
  <c r="F105" i="20" s="1"/>
  <c r="D106" i="20" s="1"/>
  <c r="E373" i="20"/>
  <c r="F373" i="20" s="1"/>
  <c r="D374" i="20" s="1"/>
  <c r="E462" i="20"/>
  <c r="F462" i="20" s="1"/>
  <c r="D463" i="20" s="1"/>
  <c r="E194" i="20"/>
  <c r="F194" i="20" s="1"/>
  <c r="D195" i="20" s="1"/>
  <c r="E191" i="13"/>
  <c r="F191" i="13" s="1"/>
  <c r="D192" i="13" s="1"/>
  <c r="F277" i="13"/>
  <c r="H29" i="49"/>
  <c r="F30" i="49"/>
  <c r="F625" i="13"/>
  <c r="A148" i="38" l="1"/>
  <c r="A149" i="38" s="1"/>
  <c r="A150" i="38" s="1"/>
  <c r="A151" i="38" s="1"/>
  <c r="A152" i="38" s="1"/>
  <c r="A153" i="38" s="1"/>
  <c r="A154" i="38" s="1"/>
  <c r="A155" i="38" s="1"/>
  <c r="A156" i="38" s="1"/>
  <c r="A157" i="38" s="1"/>
  <c r="A158" i="38" s="1"/>
  <c r="A159" i="38" s="1"/>
  <c r="A160" i="38" s="1"/>
  <c r="A161" i="38" s="1"/>
  <c r="A162" i="38" s="1"/>
  <c r="A163" i="38" s="1"/>
  <c r="A164" i="38" s="1"/>
  <c r="A49" i="38"/>
  <c r="A50" i="38" s="1"/>
  <c r="A51" i="38" s="1"/>
  <c r="A52" i="38" s="1"/>
  <c r="A66" i="39"/>
  <c r="A67" i="39" s="1"/>
  <c r="A68" i="39" s="1"/>
  <c r="A69" i="39" s="1"/>
  <c r="A70" i="39" s="1"/>
  <c r="A71" i="39" s="1"/>
  <c r="A72" i="39" s="1"/>
  <c r="A73" i="39" s="1"/>
  <c r="A74" i="39" s="1"/>
  <c r="A75" i="39" s="1"/>
  <c r="A76" i="39" s="1"/>
  <c r="A77" i="39" s="1"/>
  <c r="A78" i="39" s="1"/>
  <c r="A79" i="39" s="1"/>
  <c r="A80" i="39" s="1"/>
  <c r="A81" i="39" s="1"/>
  <c r="A82" i="39" s="1"/>
  <c r="A83" i="39" s="1"/>
  <c r="A84" i="39" s="1"/>
  <c r="A85" i="39" s="1"/>
  <c r="A86" i="39" s="1"/>
  <c r="A87" i="39" s="1"/>
  <c r="A88" i="39" s="1"/>
  <c r="A89" i="39" s="1"/>
  <c r="A90" i="39" s="1"/>
  <c r="A91" i="39" s="1"/>
  <c r="A92" i="39" s="1"/>
  <c r="A93" i="39" s="1"/>
  <c r="A94" i="39" s="1"/>
  <c r="A95" i="39" s="1"/>
  <c r="A96" i="39" s="1"/>
  <c r="A97" i="39" s="1"/>
  <c r="A98" i="39" s="1"/>
  <c r="A99" i="39" s="1"/>
  <c r="A100" i="39" s="1"/>
  <c r="A101" i="39" s="1"/>
  <c r="A102" i="39" s="1"/>
  <c r="A103" i="39" s="1"/>
  <c r="A104" i="39" s="1"/>
  <c r="A105" i="39" s="1"/>
  <c r="A106" i="39" s="1"/>
  <c r="A107" i="39" s="1"/>
  <c r="E1144" i="13"/>
  <c r="F1144" i="13" s="1"/>
  <c r="E1058" i="13"/>
  <c r="F1058" i="13" s="1"/>
  <c r="D1059" i="13" s="1"/>
  <c r="G538" i="13"/>
  <c r="G799" i="13"/>
  <c r="F801" i="13"/>
  <c r="D802" i="13" s="1"/>
  <c r="E802" i="13" s="1"/>
  <c r="G800" i="13"/>
  <c r="J124" i="2"/>
  <c r="L124" i="2" s="1"/>
  <c r="J167" i="2"/>
  <c r="L167" i="2" s="1"/>
  <c r="J207" i="2"/>
  <c r="L207" i="2" s="1"/>
  <c r="J122" i="2"/>
  <c r="L122" i="2" s="1"/>
  <c r="J193" i="2"/>
  <c r="L193" i="2" s="1"/>
  <c r="F29" i="50"/>
  <c r="H28" i="50"/>
  <c r="D888" i="13"/>
  <c r="G887" i="13"/>
  <c r="G191" i="13"/>
  <c r="E730" i="20"/>
  <c r="F730" i="20" s="1"/>
  <c r="D731" i="20" s="1"/>
  <c r="E195" i="20"/>
  <c r="F195" i="20" s="1"/>
  <c r="D196" i="20" s="1"/>
  <c r="E106" i="20"/>
  <c r="F106" i="20" s="1"/>
  <c r="D107" i="20" s="1"/>
  <c r="D105" i="13"/>
  <c r="G104" i="13"/>
  <c r="E285" i="20"/>
  <c r="F285" i="20" s="1"/>
  <c r="D286" i="20" s="1"/>
  <c r="E540" i="13"/>
  <c r="F540" i="13" s="1"/>
  <c r="B67" i="2"/>
  <c r="B68" i="2" s="1"/>
  <c r="E192" i="13"/>
  <c r="F192" i="13" s="1"/>
  <c r="E374" i="20"/>
  <c r="F374" i="20" s="1"/>
  <c r="D375" i="20" s="1"/>
  <c r="G365" i="13"/>
  <c r="D29" i="47"/>
  <c r="H28" i="47"/>
  <c r="K28" i="47" s="1"/>
  <c r="A65" i="41"/>
  <c r="A66" i="41" s="1"/>
  <c r="A67" i="41" s="1"/>
  <c r="A68" i="41" s="1"/>
  <c r="A69" i="41" s="1"/>
  <c r="A70" i="41" s="1"/>
  <c r="A71" i="41" s="1"/>
  <c r="A72" i="41" s="1"/>
  <c r="A73" i="41" s="1"/>
  <c r="A74" i="41" s="1"/>
  <c r="A58" i="11"/>
  <c r="A60" i="11" s="1"/>
  <c r="C58" i="11"/>
  <c r="E713" i="13"/>
  <c r="F713" i="13" s="1"/>
  <c r="D714" i="13" s="1"/>
  <c r="E463" i="20"/>
  <c r="F463" i="20" s="1"/>
  <c r="D464" i="20" s="1"/>
  <c r="D452" i="13"/>
  <c r="G451" i="13"/>
  <c r="D626" i="13"/>
  <c r="G625" i="13"/>
  <c r="E641" i="20"/>
  <c r="F641" i="20" s="1"/>
  <c r="D642" i="20" s="1"/>
  <c r="F31" i="49"/>
  <c r="H30" i="49"/>
  <c r="K30" i="49" s="1"/>
  <c r="E551" i="20"/>
  <c r="F551" i="20" s="1"/>
  <c r="D552" i="20" s="1"/>
  <c r="G539" i="13"/>
  <c r="D278" i="13"/>
  <c r="G277" i="13"/>
  <c r="E366" i="13"/>
  <c r="F366" i="13" s="1"/>
  <c r="K29" i="49"/>
  <c r="F41" i="47"/>
  <c r="A53" i="38" l="1"/>
  <c r="A54" i="38" s="1"/>
  <c r="A55" i="38" s="1"/>
  <c r="A56" i="38" s="1"/>
  <c r="A57" i="38" s="1"/>
  <c r="A58" i="38" s="1"/>
  <c r="A59" i="38" s="1"/>
  <c r="A60" i="38" s="1"/>
  <c r="A61" i="38" s="1"/>
  <c r="A62" i="38" s="1"/>
  <c r="A63" i="38" s="1"/>
  <c r="A64" i="38" s="1"/>
  <c r="A65" i="38" s="1"/>
  <c r="D1145" i="13"/>
  <c r="E1145" i="13" s="1"/>
  <c r="G1144" i="13"/>
  <c r="G1058" i="13"/>
  <c r="E1059" i="13"/>
  <c r="F972" i="13"/>
  <c r="E37" i="13"/>
  <c r="G801" i="13"/>
  <c r="L127" i="2"/>
  <c r="E36" i="9"/>
  <c r="E42" i="9" s="1"/>
  <c r="G168" i="2"/>
  <c r="F37" i="20"/>
  <c r="K28" i="50"/>
  <c r="H29" i="50"/>
  <c r="K29" i="50" s="1"/>
  <c r="F30" i="50"/>
  <c r="I39" i="30"/>
  <c r="E888" i="13"/>
  <c r="F888" i="13" s="1"/>
  <c r="D889" i="13" s="1"/>
  <c r="F802" i="13"/>
  <c r="D803" i="13" s="1"/>
  <c r="E803" i="13" s="1"/>
  <c r="D367" i="13"/>
  <c r="G366" i="13"/>
  <c r="E107" i="20"/>
  <c r="F107" i="20" s="1"/>
  <c r="D108" i="20" s="1"/>
  <c r="D193" i="13"/>
  <c r="G192" i="13"/>
  <c r="D541" i="13"/>
  <c r="G540" i="13"/>
  <c r="E642" i="20"/>
  <c r="F642" i="20" s="1"/>
  <c r="D643" i="20" s="1"/>
  <c r="A61" i="11"/>
  <c r="C61" i="11"/>
  <c r="G713" i="13"/>
  <c r="E464" i="20"/>
  <c r="F464" i="20" s="1"/>
  <c r="D465" i="20" s="1"/>
  <c r="E105" i="13"/>
  <c r="F105" i="13" s="1"/>
  <c r="B76" i="41"/>
  <c r="E286" i="20"/>
  <c r="F286" i="20" s="1"/>
  <c r="D287" i="20" s="1"/>
  <c r="E714" i="13"/>
  <c r="F714" i="13" s="1"/>
  <c r="A76" i="41"/>
  <c r="B50" i="41"/>
  <c r="E196" i="20"/>
  <c r="F196" i="20" s="1"/>
  <c r="D197" i="20" s="1"/>
  <c r="E552" i="20"/>
  <c r="F552" i="20" s="1"/>
  <c r="D553" i="20" s="1"/>
  <c r="E626" i="13"/>
  <c r="F626" i="13" s="1"/>
  <c r="D627" i="13" s="1"/>
  <c r="H31" i="49"/>
  <c r="K31" i="49" s="1"/>
  <c r="F32" i="49"/>
  <c r="D30" i="47"/>
  <c r="H29" i="47"/>
  <c r="K29" i="47" s="1"/>
  <c r="E731" i="20"/>
  <c r="F731" i="20" s="1"/>
  <c r="D732" i="20" s="1"/>
  <c r="E375" i="20"/>
  <c r="F375" i="20" s="1"/>
  <c r="D376" i="20" s="1"/>
  <c r="F42" i="47"/>
  <c r="E278" i="13"/>
  <c r="F278" i="13" s="1"/>
  <c r="E452" i="13"/>
  <c r="E234" i="2"/>
  <c r="C75" i="13"/>
  <c r="B69" i="2"/>
  <c r="B70" i="2" s="1"/>
  <c r="C75" i="20"/>
  <c r="F1145" i="13" l="1"/>
  <c r="F1059" i="13"/>
  <c r="D973" i="13"/>
  <c r="E973" i="13" s="1"/>
  <c r="G972" i="13"/>
  <c r="L168" i="2"/>
  <c r="I31" i="30"/>
  <c r="H30" i="50"/>
  <c r="K30" i="50" s="1"/>
  <c r="F31" i="50"/>
  <c r="I29" i="30"/>
  <c r="E889" i="13"/>
  <c r="F889" i="13" s="1"/>
  <c r="G888" i="13"/>
  <c r="G802" i="13"/>
  <c r="D279" i="13"/>
  <c r="E279" i="13" s="1"/>
  <c r="F279" i="13" s="1"/>
  <c r="G278" i="13"/>
  <c r="F803" i="13"/>
  <c r="D804" i="13" s="1"/>
  <c r="E465" i="20"/>
  <c r="F465" i="20" s="1"/>
  <c r="D466" i="20" s="1"/>
  <c r="D715" i="13"/>
  <c r="G714" i="13"/>
  <c r="E643" i="20"/>
  <c r="F643" i="20" s="1"/>
  <c r="D644" i="20" s="1"/>
  <c r="E287" i="20"/>
  <c r="F287" i="20" s="1"/>
  <c r="D288" i="20" s="1"/>
  <c r="D106" i="13"/>
  <c r="G105" i="13"/>
  <c r="E732" i="20"/>
  <c r="F732" i="20" s="1"/>
  <c r="D733" i="20" s="1"/>
  <c r="F43" i="47"/>
  <c r="E627" i="13"/>
  <c r="F627" i="13" s="1"/>
  <c r="E376" i="20"/>
  <c r="F376" i="20" s="1"/>
  <c r="D377" i="20" s="1"/>
  <c r="A77" i="41"/>
  <c r="A78" i="41" s="1"/>
  <c r="A79" i="41" s="1"/>
  <c r="A80" i="41" s="1"/>
  <c r="A62" i="11"/>
  <c r="A63" i="11" s="1"/>
  <c r="E553" i="20"/>
  <c r="F553" i="20" s="1"/>
  <c r="D554" i="20" s="1"/>
  <c r="E108" i="20"/>
  <c r="F108" i="20" s="1"/>
  <c r="D109" i="20" s="1"/>
  <c r="B71" i="2"/>
  <c r="B72" i="2" s="1"/>
  <c r="D31" i="47"/>
  <c r="H30" i="47"/>
  <c r="K30" i="47" s="1"/>
  <c r="E197" i="20"/>
  <c r="F197" i="20" s="1"/>
  <c r="D198" i="20" s="1"/>
  <c r="E193" i="13"/>
  <c r="F193" i="13" s="1"/>
  <c r="D194" i="13" s="1"/>
  <c r="F452" i="13"/>
  <c r="F39" i="49"/>
  <c r="H32" i="49"/>
  <c r="F36" i="49"/>
  <c r="G626" i="13"/>
  <c r="E541" i="13"/>
  <c r="F541" i="13" s="1"/>
  <c r="E367" i="13"/>
  <c r="F367" i="13" s="1"/>
  <c r="D368" i="13" s="1"/>
  <c r="D1060" i="13" l="1"/>
  <c r="G1059" i="13"/>
  <c r="D1146" i="13"/>
  <c r="G1145" i="13"/>
  <c r="F32" i="50"/>
  <c r="H31" i="50"/>
  <c r="D890" i="13"/>
  <c r="E890" i="13" s="1"/>
  <c r="F890" i="13" s="1"/>
  <c r="G889" i="13"/>
  <c r="E804" i="13"/>
  <c r="F804" i="13" s="1"/>
  <c r="G803" i="13"/>
  <c r="D542" i="13"/>
  <c r="G541" i="13"/>
  <c r="D628" i="13"/>
  <c r="G627" i="13"/>
  <c r="E109" i="20"/>
  <c r="F109" i="20" s="1"/>
  <c r="D110" i="20" s="1"/>
  <c r="E733" i="20"/>
  <c r="F733" i="20" s="1"/>
  <c r="D734" i="20" s="1"/>
  <c r="D280" i="13"/>
  <c r="G279" i="13"/>
  <c r="E466" i="20"/>
  <c r="F466" i="20" s="1"/>
  <c r="D467" i="20" s="1"/>
  <c r="E644" i="20"/>
  <c r="F644" i="20" s="1"/>
  <c r="D645" i="20" s="1"/>
  <c r="D453" i="13"/>
  <c r="G452" i="13"/>
  <c r="C63" i="11"/>
  <c r="B80" i="41"/>
  <c r="F44" i="47"/>
  <c r="E368" i="13"/>
  <c r="F368" i="13" s="1"/>
  <c r="D369" i="13" s="1"/>
  <c r="E288" i="20"/>
  <c r="F288" i="20" s="1"/>
  <c r="D289" i="20" s="1"/>
  <c r="E198" i="20"/>
  <c r="F198" i="20" s="1"/>
  <c r="D199" i="20" s="1"/>
  <c r="G193" i="13"/>
  <c r="D32" i="47"/>
  <c r="H32" i="47" s="1"/>
  <c r="H31" i="47"/>
  <c r="K31" i="47" s="1"/>
  <c r="E554" i="20"/>
  <c r="F554" i="20" s="1"/>
  <c r="D555" i="20" s="1"/>
  <c r="A64" i="11"/>
  <c r="A65" i="11" s="1"/>
  <c r="B51" i="41"/>
  <c r="A85" i="41"/>
  <c r="E377" i="20"/>
  <c r="F377" i="20" s="1"/>
  <c r="D378" i="20" s="1"/>
  <c r="E715" i="13"/>
  <c r="F715" i="13" s="1"/>
  <c r="D716" i="13" s="1"/>
  <c r="E194" i="13"/>
  <c r="F194" i="13" s="1"/>
  <c r="B73" i="2"/>
  <c r="B74" i="2" s="1"/>
  <c r="K32" i="49"/>
  <c r="K33" i="49" s="1"/>
  <c r="D36" i="49" s="1"/>
  <c r="H33" i="49"/>
  <c r="G367" i="13"/>
  <c r="F40" i="49"/>
  <c r="E106" i="13"/>
  <c r="F106" i="13" s="1"/>
  <c r="E1146" i="13" l="1"/>
  <c r="F1146" i="13" s="1"/>
  <c r="E1060" i="13"/>
  <c r="F1060" i="13" s="1"/>
  <c r="D1061" i="13" s="1"/>
  <c r="F973" i="13"/>
  <c r="C65" i="11"/>
  <c r="K31" i="50"/>
  <c r="F36" i="50"/>
  <c r="F39" i="50"/>
  <c r="H32" i="50"/>
  <c r="K32" i="50" s="1"/>
  <c r="D891" i="13"/>
  <c r="G890" i="13"/>
  <c r="D805" i="13"/>
  <c r="G804" i="13"/>
  <c r="D195" i="13"/>
  <c r="E195" i="13" s="1"/>
  <c r="F195" i="13" s="1"/>
  <c r="G194" i="13"/>
  <c r="E542" i="13"/>
  <c r="F542" i="13" s="1"/>
  <c r="E555" i="20"/>
  <c r="F555" i="20" s="1"/>
  <c r="E110" i="20"/>
  <c r="F110" i="20" s="1"/>
  <c r="D107" i="13"/>
  <c r="G106" i="13"/>
  <c r="E199" i="20"/>
  <c r="F199" i="20" s="1"/>
  <c r="E734" i="20"/>
  <c r="F734" i="20" s="1"/>
  <c r="E289" i="20"/>
  <c r="F289" i="20" s="1"/>
  <c r="F45" i="47"/>
  <c r="B77" i="2"/>
  <c r="B79" i="2" s="1"/>
  <c r="B80" i="2" s="1"/>
  <c r="E77" i="2"/>
  <c r="G715" i="13"/>
  <c r="E453" i="13"/>
  <c r="F453" i="13" s="1"/>
  <c r="D454" i="13" s="1"/>
  <c r="E645" i="20"/>
  <c r="F645" i="20" s="1"/>
  <c r="E378" i="20"/>
  <c r="F378" i="20" s="1"/>
  <c r="A86" i="41"/>
  <c r="C66" i="11"/>
  <c r="A66" i="11"/>
  <c r="G368" i="13"/>
  <c r="E467" i="20"/>
  <c r="F467" i="20" s="1"/>
  <c r="E280" i="13"/>
  <c r="F280" i="13" s="1"/>
  <c r="D281" i="13" s="1"/>
  <c r="E716" i="13"/>
  <c r="F716" i="13" s="1"/>
  <c r="E369" i="13"/>
  <c r="F369" i="13" s="1"/>
  <c r="F41" i="49"/>
  <c r="H36" i="49"/>
  <c r="K36" i="49" s="1"/>
  <c r="K32" i="47"/>
  <c r="K33" i="47" s="1"/>
  <c r="D36" i="47" s="1"/>
  <c r="H33" i="47"/>
  <c r="E628" i="13"/>
  <c r="F628" i="13" s="1"/>
  <c r="D1147" i="13" l="1"/>
  <c r="E1147" i="13" s="1"/>
  <c r="F1147" i="13" s="1"/>
  <c r="G1146" i="13"/>
  <c r="G1060" i="13"/>
  <c r="E1061" i="13"/>
  <c r="F1061" i="13" s="1"/>
  <c r="D1062" i="13" s="1"/>
  <c r="D974" i="13"/>
  <c r="E974" i="13" s="1"/>
  <c r="G973" i="13"/>
  <c r="K33" i="50"/>
  <c r="D36" i="50" s="1"/>
  <c r="H36" i="50" s="1"/>
  <c r="K36" i="50" s="1"/>
  <c r="D39" i="50" s="1"/>
  <c r="H39" i="50" s="1"/>
  <c r="H33" i="50"/>
  <c r="F40" i="50"/>
  <c r="D200" i="20"/>
  <c r="E200" i="20" s="1"/>
  <c r="F200" i="20" s="1"/>
  <c r="D201" i="20" s="1"/>
  <c r="D111" i="20"/>
  <c r="E111" i="20" s="1"/>
  <c r="F111" i="20" s="1"/>
  <c r="E891" i="13"/>
  <c r="F891" i="13" s="1"/>
  <c r="E805" i="13"/>
  <c r="F805" i="13" s="1"/>
  <c r="D543" i="13"/>
  <c r="E543" i="13" s="1"/>
  <c r="G542" i="13"/>
  <c r="O799" i="13"/>
  <c r="O798" i="13"/>
  <c r="D646" i="20"/>
  <c r="D370" i="13"/>
  <c r="G369" i="13"/>
  <c r="D717" i="13"/>
  <c r="G716" i="13"/>
  <c r="D379" i="20"/>
  <c r="D290" i="20"/>
  <c r="D735" i="20"/>
  <c r="D629" i="13"/>
  <c r="G628" i="13"/>
  <c r="D468" i="20"/>
  <c r="D196" i="13"/>
  <c r="G195" i="13"/>
  <c r="D556" i="20"/>
  <c r="D39" i="49"/>
  <c r="I39" i="49"/>
  <c r="G280" i="13"/>
  <c r="A87" i="41"/>
  <c r="A88" i="41" s="1"/>
  <c r="G453" i="13"/>
  <c r="E107" i="13"/>
  <c r="F107" i="13" s="1"/>
  <c r="E454" i="13"/>
  <c r="F454" i="13" s="1"/>
  <c r="D455" i="13" s="1"/>
  <c r="E281" i="13"/>
  <c r="F281" i="13" s="1"/>
  <c r="F42" i="49"/>
  <c r="B81" i="2"/>
  <c r="B82" i="2" s="1"/>
  <c r="H36" i="47"/>
  <c r="K36" i="47" s="1"/>
  <c r="A67" i="11"/>
  <c r="C67" i="11"/>
  <c r="F46" i="47"/>
  <c r="G1061" i="13" l="1"/>
  <c r="E1062" i="13"/>
  <c r="F1062" i="13" s="1"/>
  <c r="G1147" i="13"/>
  <c r="D1148" i="13"/>
  <c r="B88" i="41"/>
  <c r="I39" i="50"/>
  <c r="I40" i="50" s="1"/>
  <c r="I41" i="50" s="1"/>
  <c r="I42" i="50" s="1"/>
  <c r="I43" i="50" s="1"/>
  <c r="I44" i="50" s="1"/>
  <c r="I45" i="50" s="1"/>
  <c r="I46" i="50" s="1"/>
  <c r="I47" i="50" s="1"/>
  <c r="I48" i="50" s="1"/>
  <c r="I49" i="50" s="1"/>
  <c r="I50" i="50" s="1"/>
  <c r="I53" i="50" s="1"/>
  <c r="I55" i="50" s="1"/>
  <c r="F41" i="50"/>
  <c r="F543" i="13"/>
  <c r="D544" i="13" s="1"/>
  <c r="E544" i="13" s="1"/>
  <c r="F544" i="13" s="1"/>
  <c r="D545" i="13" s="1"/>
  <c r="D892" i="13"/>
  <c r="G891" i="13"/>
  <c r="D806" i="13"/>
  <c r="G805" i="13"/>
  <c r="G454" i="13"/>
  <c r="D108" i="13"/>
  <c r="G107" i="13"/>
  <c r="D112" i="20"/>
  <c r="D39" i="47"/>
  <c r="I39" i="47"/>
  <c r="D282" i="13"/>
  <c r="G281" i="13"/>
  <c r="E455" i="13"/>
  <c r="F455" i="13" s="1"/>
  <c r="D456" i="13" s="1"/>
  <c r="E717" i="13"/>
  <c r="F717" i="13" s="1"/>
  <c r="E201" i="20"/>
  <c r="F201" i="20" s="1"/>
  <c r="E629" i="13"/>
  <c r="F629" i="13" s="1"/>
  <c r="A68" i="11"/>
  <c r="C68" i="11"/>
  <c r="F43" i="49"/>
  <c r="E556" i="20"/>
  <c r="F556" i="20" s="1"/>
  <c r="E735" i="20"/>
  <c r="F735" i="20" s="1"/>
  <c r="B83" i="2"/>
  <c r="B84" i="2" s="1"/>
  <c r="I40" i="49"/>
  <c r="I41" i="49" s="1"/>
  <c r="I42" i="49" s="1"/>
  <c r="I43" i="49" s="1"/>
  <c r="I44" i="49" s="1"/>
  <c r="I45" i="49" s="1"/>
  <c r="I46" i="49" s="1"/>
  <c r="I47" i="49" s="1"/>
  <c r="I48" i="49" s="1"/>
  <c r="I49" i="49" s="1"/>
  <c r="I50" i="49" s="1"/>
  <c r="E370" i="13"/>
  <c r="F370" i="13" s="1"/>
  <c r="F47" i="47"/>
  <c r="A89" i="41"/>
  <c r="B89" i="41"/>
  <c r="K39" i="49"/>
  <c r="D40" i="49" s="1"/>
  <c r="H39" i="49"/>
  <c r="E196" i="13"/>
  <c r="F196" i="13" s="1"/>
  <c r="D197" i="13" s="1"/>
  <c r="E290" i="20"/>
  <c r="F290" i="20" s="1"/>
  <c r="E94" i="2"/>
  <c r="E646" i="20"/>
  <c r="F646" i="20" s="1"/>
  <c r="E468" i="20"/>
  <c r="F468" i="20" s="1"/>
  <c r="E379" i="20"/>
  <c r="F379" i="20" s="1"/>
  <c r="D1063" i="13" l="1"/>
  <c r="E1063" i="13" s="1"/>
  <c r="F1063" i="13" s="1"/>
  <c r="D1064" i="13" s="1"/>
  <c r="G1062" i="13"/>
  <c r="E1148" i="13"/>
  <c r="F1148" i="13" s="1"/>
  <c r="D1149" i="13" s="1"/>
  <c r="F974" i="13"/>
  <c r="K39" i="50"/>
  <c r="D40" i="50" s="1"/>
  <c r="K40" i="50" s="1"/>
  <c r="D41" i="50" s="1"/>
  <c r="E95" i="2"/>
  <c r="F42" i="50"/>
  <c r="I53" i="49"/>
  <c r="I55" i="49" s="1"/>
  <c r="G544" i="13"/>
  <c r="G543" i="13"/>
  <c r="E892" i="13"/>
  <c r="F892" i="13" s="1"/>
  <c r="D893" i="13" s="1"/>
  <c r="E806" i="13"/>
  <c r="F806" i="13" s="1"/>
  <c r="G455" i="13"/>
  <c r="D630" i="13"/>
  <c r="G629" i="13"/>
  <c r="D371" i="13"/>
  <c r="G370" i="13"/>
  <c r="D291" i="20"/>
  <c r="D718" i="13"/>
  <c r="G717" i="13"/>
  <c r="D647" i="20"/>
  <c r="D557" i="20"/>
  <c r="D736" i="20"/>
  <c r="D380" i="20"/>
  <c r="G196" i="13"/>
  <c r="A69" i="11"/>
  <c r="A71" i="11" s="1"/>
  <c r="C69" i="11"/>
  <c r="A91" i="41"/>
  <c r="E112" i="20"/>
  <c r="F112" i="20" s="1"/>
  <c r="D113" i="20" s="1"/>
  <c r="E197" i="13"/>
  <c r="F197" i="13" s="1"/>
  <c r="D198" i="13" s="1"/>
  <c r="B85" i="2"/>
  <c r="B86" i="2" s="1"/>
  <c r="D202" i="20"/>
  <c r="E456" i="13"/>
  <c r="F456" i="13" s="1"/>
  <c r="E108" i="13"/>
  <c r="F108" i="13" s="1"/>
  <c r="D109" i="13" s="1"/>
  <c r="F44" i="49"/>
  <c r="E282" i="13"/>
  <c r="F282" i="13" s="1"/>
  <c r="D469" i="20"/>
  <c r="I40" i="47"/>
  <c r="I41" i="47" s="1"/>
  <c r="I42" i="47" s="1"/>
  <c r="I43" i="47" s="1"/>
  <c r="I44" i="47" s="1"/>
  <c r="I45" i="47" s="1"/>
  <c r="I46" i="47" s="1"/>
  <c r="I47" i="47" s="1"/>
  <c r="I48" i="47" s="1"/>
  <c r="I49" i="47" s="1"/>
  <c r="I50" i="47" s="1"/>
  <c r="K40" i="49"/>
  <c r="D41" i="49" s="1"/>
  <c r="H40" i="49"/>
  <c r="F48" i="47"/>
  <c r="K39" i="47"/>
  <c r="D40" i="47" s="1"/>
  <c r="H39" i="47"/>
  <c r="E545" i="13"/>
  <c r="F545" i="13" s="1"/>
  <c r="G1063" i="13" l="1"/>
  <c r="G1148" i="13"/>
  <c r="E1064" i="13"/>
  <c r="F1064" i="13" s="1"/>
  <c r="E1149" i="13"/>
  <c r="F1149" i="13" s="1"/>
  <c r="D1150" i="13" s="1"/>
  <c r="D975" i="13"/>
  <c r="E975" i="13" s="1"/>
  <c r="G974" i="13"/>
  <c r="H40" i="50"/>
  <c r="H41" i="50"/>
  <c r="K41" i="50"/>
  <c r="D42" i="50" s="1"/>
  <c r="K42" i="50" s="1"/>
  <c r="D43" i="50" s="1"/>
  <c r="E96" i="2"/>
  <c r="F43" i="50"/>
  <c r="M799" i="13"/>
  <c r="P799" i="13" s="1"/>
  <c r="D457" i="13"/>
  <c r="E457" i="13" s="1"/>
  <c r="F457" i="13" s="1"/>
  <c r="G456" i="13"/>
  <c r="E893" i="13"/>
  <c r="F893" i="13" s="1"/>
  <c r="D894" i="13" s="1"/>
  <c r="G892" i="13"/>
  <c r="D807" i="13"/>
  <c r="G806" i="13"/>
  <c r="D546" i="13"/>
  <c r="G545" i="13"/>
  <c r="G108" i="13"/>
  <c r="D283" i="13"/>
  <c r="G282" i="13"/>
  <c r="E198" i="13"/>
  <c r="F198" i="13" s="1"/>
  <c r="D199" i="13" s="1"/>
  <c r="I53" i="47"/>
  <c r="I55" i="47" s="1"/>
  <c r="E469" i="20"/>
  <c r="F469" i="20" s="1"/>
  <c r="F45" i="49"/>
  <c r="E557" i="20"/>
  <c r="F557" i="20" s="1"/>
  <c r="D558" i="20" s="1"/>
  <c r="F49" i="47"/>
  <c r="A92" i="41"/>
  <c r="E291" i="20"/>
  <c r="F291" i="20" s="1"/>
  <c r="D292" i="20" s="1"/>
  <c r="K40" i="47"/>
  <c r="D41" i="47" s="1"/>
  <c r="H40" i="47"/>
  <c r="G197" i="13"/>
  <c r="K41" i="49"/>
  <c r="D42" i="49" s="1"/>
  <c r="H41" i="49"/>
  <c r="B87" i="2"/>
  <c r="B88" i="2" s="1"/>
  <c r="E380" i="20"/>
  <c r="F380" i="20" s="1"/>
  <c r="E113" i="20"/>
  <c r="F113" i="20" s="1"/>
  <c r="E647" i="20"/>
  <c r="F647" i="20" s="1"/>
  <c r="E371" i="13"/>
  <c r="F371" i="13" s="1"/>
  <c r="E109" i="13"/>
  <c r="F109" i="13" s="1"/>
  <c r="E202" i="20"/>
  <c r="F202" i="20" s="1"/>
  <c r="D203" i="20" s="1"/>
  <c r="E736" i="20"/>
  <c r="F736" i="20" s="1"/>
  <c r="E718" i="13"/>
  <c r="F718" i="13" s="1"/>
  <c r="E630" i="13"/>
  <c r="F630" i="13" s="1"/>
  <c r="D631" i="13" s="1"/>
  <c r="D1065" i="13" l="1"/>
  <c r="G1064" i="13"/>
  <c r="G1149" i="13"/>
  <c r="E1150" i="13"/>
  <c r="F1150" i="13" s="1"/>
  <c r="H42" i="50"/>
  <c r="E97" i="2"/>
  <c r="F44" i="50"/>
  <c r="H43" i="50"/>
  <c r="K43" i="50"/>
  <c r="D44" i="50" s="1"/>
  <c r="D648" i="20"/>
  <c r="E648" i="20" s="1"/>
  <c r="E894" i="13"/>
  <c r="F894" i="13" s="1"/>
  <c r="D895" i="13" s="1"/>
  <c r="G893" i="13"/>
  <c r="E807" i="13"/>
  <c r="F807" i="13" s="1"/>
  <c r="E546" i="13"/>
  <c r="F546" i="13" s="1"/>
  <c r="D458" i="13"/>
  <c r="G457" i="13"/>
  <c r="D381" i="20"/>
  <c r="D470" i="20"/>
  <c r="D737" i="20"/>
  <c r="D114" i="20"/>
  <c r="D372" i="13"/>
  <c r="G371" i="13"/>
  <c r="D110" i="13"/>
  <c r="G109" i="13"/>
  <c r="D719" i="13"/>
  <c r="G718" i="13"/>
  <c r="E203" i="20"/>
  <c r="F203" i="20" s="1"/>
  <c r="D204" i="20" s="1"/>
  <c r="F46" i="49"/>
  <c r="E199" i="13"/>
  <c r="F199" i="13" s="1"/>
  <c r="D200" i="13" s="1"/>
  <c r="B91" i="2"/>
  <c r="B93" i="2" s="1"/>
  <c r="B94" i="2" s="1"/>
  <c r="E98" i="2"/>
  <c r="E91" i="2"/>
  <c r="F50" i="47"/>
  <c r="G198" i="13"/>
  <c r="G630" i="13"/>
  <c r="E631" i="13"/>
  <c r="F631" i="13" s="1"/>
  <c r="D632" i="13" s="1"/>
  <c r="K41" i="47"/>
  <c r="D42" i="47" s="1"/>
  <c r="H41" i="47"/>
  <c r="E558" i="20"/>
  <c r="F558" i="20" s="1"/>
  <c r="E292" i="20"/>
  <c r="F292" i="20" s="1"/>
  <c r="A93" i="41"/>
  <c r="A94" i="41" s="1"/>
  <c r="K42" i="49"/>
  <c r="D43" i="49" s="1"/>
  <c r="H42" i="49"/>
  <c r="E283" i="13"/>
  <c r="F283" i="13" s="1"/>
  <c r="D1151" i="13" l="1"/>
  <c r="G1150" i="13"/>
  <c r="E1065" i="13"/>
  <c r="F1065" i="13" s="1"/>
  <c r="F975" i="13"/>
  <c r="K44" i="50"/>
  <c r="D45" i="50" s="1"/>
  <c r="B94" i="41"/>
  <c r="F45" i="50"/>
  <c r="H44" i="50"/>
  <c r="F648" i="20"/>
  <c r="D649" i="20" s="1"/>
  <c r="E649" i="20" s="1"/>
  <c r="F649" i="20" s="1"/>
  <c r="D650" i="20" s="1"/>
  <c r="D559" i="20"/>
  <c r="E559" i="20" s="1"/>
  <c r="F559" i="20" s="1"/>
  <c r="E895" i="13"/>
  <c r="F895" i="13" s="1"/>
  <c r="G894" i="13"/>
  <c r="D808" i="13"/>
  <c r="G807" i="13"/>
  <c r="D547" i="13"/>
  <c r="G546" i="13"/>
  <c r="D284" i="13"/>
  <c r="G283" i="13"/>
  <c r="D293" i="20"/>
  <c r="E470" i="20"/>
  <c r="F470" i="20" s="1"/>
  <c r="G631" i="13"/>
  <c r="E200" i="13"/>
  <c r="F200" i="13" s="1"/>
  <c r="E719" i="13"/>
  <c r="F719" i="13" s="1"/>
  <c r="D720" i="13" s="1"/>
  <c r="E114" i="20"/>
  <c r="F114" i="20" s="1"/>
  <c r="G199" i="13"/>
  <c r="E632" i="13"/>
  <c r="F632" i="13" s="1"/>
  <c r="E110" i="13"/>
  <c r="F110" i="13" s="1"/>
  <c r="D111" i="13" s="1"/>
  <c r="B95" i="2"/>
  <c r="A95" i="41"/>
  <c r="B95" i="41"/>
  <c r="F47" i="49"/>
  <c r="E737" i="20"/>
  <c r="F737" i="20" s="1"/>
  <c r="E381" i="20"/>
  <c r="F381" i="20" s="1"/>
  <c r="D382" i="20" s="1"/>
  <c r="K42" i="47"/>
  <c r="D43" i="47" s="1"/>
  <c r="H42" i="47"/>
  <c r="E372" i="13"/>
  <c r="F372" i="13" s="1"/>
  <c r="E204" i="20"/>
  <c r="F204" i="20" s="1"/>
  <c r="K43" i="49"/>
  <c r="D44" i="49" s="1"/>
  <c r="H43" i="49"/>
  <c r="E458" i="13"/>
  <c r="F458" i="13" s="1"/>
  <c r="D1066" i="13" l="1"/>
  <c r="G1065" i="13"/>
  <c r="E1151" i="13"/>
  <c r="F1151" i="13" s="1"/>
  <c r="D976" i="13"/>
  <c r="E976" i="13" s="1"/>
  <c r="G975" i="13"/>
  <c r="F46" i="50"/>
  <c r="H45" i="50"/>
  <c r="K45" i="50"/>
  <c r="D46" i="50" s="1"/>
  <c r="D560" i="20"/>
  <c r="E560" i="20" s="1"/>
  <c r="F560" i="20" s="1"/>
  <c r="D205" i="20"/>
  <c r="E205" i="20" s="1"/>
  <c r="F205" i="20" s="1"/>
  <c r="D896" i="13"/>
  <c r="G895" i="13"/>
  <c r="E808" i="13"/>
  <c r="F808" i="13" s="1"/>
  <c r="D809" i="13" s="1"/>
  <c r="E547" i="13"/>
  <c r="F547" i="13" s="1"/>
  <c r="D373" i="13"/>
  <c r="E373" i="13" s="1"/>
  <c r="F373" i="13" s="1"/>
  <c r="G372" i="13"/>
  <c r="D471" i="20"/>
  <c r="D459" i="13"/>
  <c r="G458" i="13"/>
  <c r="D115" i="20"/>
  <c r="D633" i="13"/>
  <c r="G632" i="13"/>
  <c r="D738" i="20"/>
  <c r="D201" i="13"/>
  <c r="G200" i="13"/>
  <c r="E284" i="13"/>
  <c r="F284" i="13" s="1"/>
  <c r="D285" i="13" s="1"/>
  <c r="G719" i="13"/>
  <c r="K44" i="49"/>
  <c r="D45" i="49" s="1"/>
  <c r="H44" i="49"/>
  <c r="G110" i="13"/>
  <c r="K43" i="47"/>
  <c r="D44" i="47" s="1"/>
  <c r="H43" i="47"/>
  <c r="E382" i="20"/>
  <c r="F382" i="20" s="1"/>
  <c r="E111" i="13"/>
  <c r="F111" i="13" s="1"/>
  <c r="F48" i="49"/>
  <c r="C64" i="13"/>
  <c r="B96" i="2"/>
  <c r="B97" i="2" s="1"/>
  <c r="B98" i="2" s="1"/>
  <c r="C64" i="20"/>
  <c r="E650" i="20"/>
  <c r="F650" i="20" s="1"/>
  <c r="D651" i="20" s="1"/>
  <c r="E720" i="13"/>
  <c r="F720" i="13" s="1"/>
  <c r="A97" i="41"/>
  <c r="E293" i="20"/>
  <c r="F293" i="20" s="1"/>
  <c r="D1152" i="13" l="1"/>
  <c r="G1151" i="13"/>
  <c r="E1066" i="13"/>
  <c r="F1066" i="13" s="1"/>
  <c r="K46" i="50"/>
  <c r="D47" i="50" s="1"/>
  <c r="F47" i="50"/>
  <c r="H46" i="50"/>
  <c r="D383" i="20"/>
  <c r="E383" i="20" s="1"/>
  <c r="F383" i="20" s="1"/>
  <c r="D206" i="20"/>
  <c r="E206" i="20" s="1"/>
  <c r="F206" i="20" s="1"/>
  <c r="D561" i="20"/>
  <c r="E561" i="20" s="1"/>
  <c r="E896" i="13"/>
  <c r="F896" i="13" s="1"/>
  <c r="E809" i="13"/>
  <c r="F809" i="13" s="1"/>
  <c r="G808" i="13"/>
  <c r="D548" i="13"/>
  <c r="G547" i="13"/>
  <c r="D721" i="13"/>
  <c r="G720" i="13"/>
  <c r="D294" i="20"/>
  <c r="D374" i="13"/>
  <c r="G373" i="13"/>
  <c r="D112" i="13"/>
  <c r="G111" i="13"/>
  <c r="K44" i="47"/>
  <c r="D45" i="47" s="1"/>
  <c r="H44" i="47"/>
  <c r="E651" i="20"/>
  <c r="F651" i="20" s="1"/>
  <c r="D652" i="20" s="1"/>
  <c r="F49" i="49"/>
  <c r="A98" i="41"/>
  <c r="E201" i="13"/>
  <c r="F201" i="13" s="1"/>
  <c r="E115" i="20"/>
  <c r="F115" i="20" s="1"/>
  <c r="K45" i="49"/>
  <c r="D46" i="49" s="1"/>
  <c r="H45" i="49"/>
  <c r="E285" i="13"/>
  <c r="F285" i="13" s="1"/>
  <c r="D286" i="13" s="1"/>
  <c r="E633" i="13"/>
  <c r="F633" i="13" s="1"/>
  <c r="D634" i="13" s="1"/>
  <c r="E471" i="20"/>
  <c r="F471" i="20" s="1"/>
  <c r="G284" i="13"/>
  <c r="E738" i="20"/>
  <c r="F738" i="20" s="1"/>
  <c r="E459" i="13"/>
  <c r="F459" i="13" s="1"/>
  <c r="B100" i="2"/>
  <c r="E100" i="2"/>
  <c r="D1067" i="13" l="1"/>
  <c r="G1066" i="13"/>
  <c r="E1152" i="13"/>
  <c r="F1152" i="13" s="1"/>
  <c r="D1153" i="13" s="1"/>
  <c r="F976" i="13"/>
  <c r="F48" i="50"/>
  <c r="H47" i="50"/>
  <c r="K47" i="50"/>
  <c r="D48" i="50" s="1"/>
  <c r="D897" i="13"/>
  <c r="E897" i="13" s="1"/>
  <c r="F897" i="13" s="1"/>
  <c r="D898" i="13" s="1"/>
  <c r="G896" i="13"/>
  <c r="F561" i="20"/>
  <c r="D562" i="20" s="1"/>
  <c r="E562" i="20" s="1"/>
  <c r="D810" i="13"/>
  <c r="G809" i="13"/>
  <c r="D202" i="13"/>
  <c r="E202" i="13" s="1"/>
  <c r="F202" i="13" s="1"/>
  <c r="D203" i="13" s="1"/>
  <c r="G201" i="13"/>
  <c r="E548" i="13"/>
  <c r="F548" i="13" s="1"/>
  <c r="D460" i="13"/>
  <c r="G459" i="13"/>
  <c r="D739" i="20"/>
  <c r="D116" i="20"/>
  <c r="D207" i="20"/>
  <c r="D384" i="20"/>
  <c r="D472" i="20"/>
  <c r="E652" i="20"/>
  <c r="F652" i="20" s="1"/>
  <c r="E112" i="13"/>
  <c r="F112" i="13" s="1"/>
  <c r="D113" i="13" s="1"/>
  <c r="G633" i="13"/>
  <c r="G285" i="13"/>
  <c r="E286" i="13"/>
  <c r="F286" i="13" s="1"/>
  <c r="E374" i="13"/>
  <c r="F374" i="13" s="1"/>
  <c r="F50" i="49"/>
  <c r="E294" i="20"/>
  <c r="F294" i="20" s="1"/>
  <c r="B103" i="2"/>
  <c r="B104" i="2" s="1"/>
  <c r="C47" i="11"/>
  <c r="E634" i="13"/>
  <c r="F634" i="13" s="1"/>
  <c r="D635" i="13" s="1"/>
  <c r="K46" i="49"/>
  <c r="D47" i="49" s="1"/>
  <c r="H46" i="49"/>
  <c r="K45" i="47"/>
  <c r="D46" i="47" s="1"/>
  <c r="H45" i="47"/>
  <c r="A99" i="41"/>
  <c r="A100" i="41" s="1"/>
  <c r="E721" i="13"/>
  <c r="F721" i="13" s="1"/>
  <c r="G1152" i="13" l="1"/>
  <c r="E1153" i="13"/>
  <c r="F1153" i="13" s="1"/>
  <c r="D1154" i="13" s="1"/>
  <c r="E1067" i="13"/>
  <c r="F1067" i="13" s="1"/>
  <c r="D977" i="13"/>
  <c r="E977" i="13" s="1"/>
  <c r="G976" i="13"/>
  <c r="B100" i="41"/>
  <c r="K48" i="50"/>
  <c r="D49" i="50" s="1"/>
  <c r="F49" i="50"/>
  <c r="H48" i="50"/>
  <c r="F562" i="20"/>
  <c r="D563" i="20" s="1"/>
  <c r="E563" i="20" s="1"/>
  <c r="F563" i="20" s="1"/>
  <c r="E898" i="13"/>
  <c r="F898" i="13" s="1"/>
  <c r="G897" i="13"/>
  <c r="E810" i="13"/>
  <c r="F810" i="13" s="1"/>
  <c r="D549" i="13"/>
  <c r="E549" i="13" s="1"/>
  <c r="G548" i="13"/>
  <c r="D375" i="13"/>
  <c r="E375" i="13" s="1"/>
  <c r="G374" i="13"/>
  <c r="D295" i="20"/>
  <c r="D653" i="20"/>
  <c r="D722" i="13"/>
  <c r="G721" i="13"/>
  <c r="D287" i="13"/>
  <c r="G286" i="13"/>
  <c r="E203" i="13"/>
  <c r="F203" i="13" s="1"/>
  <c r="D204" i="13" s="1"/>
  <c r="G112" i="13"/>
  <c r="E472" i="20"/>
  <c r="F472" i="20" s="1"/>
  <c r="E635" i="13"/>
  <c r="F635" i="13" s="1"/>
  <c r="E113" i="13"/>
  <c r="F113" i="13" s="1"/>
  <c r="G634" i="13"/>
  <c r="K46" i="47"/>
  <c r="D47" i="47" s="1"/>
  <c r="H46" i="47"/>
  <c r="E384" i="20"/>
  <c r="F384" i="20" s="1"/>
  <c r="E739" i="20"/>
  <c r="F739" i="20" s="1"/>
  <c r="D740" i="20" s="1"/>
  <c r="E116" i="20"/>
  <c r="F116" i="20" s="1"/>
  <c r="A101" i="41"/>
  <c r="B103" i="41"/>
  <c r="B101" i="41"/>
  <c r="K47" i="49"/>
  <c r="D48" i="49" s="1"/>
  <c r="H47" i="49"/>
  <c r="B105" i="2"/>
  <c r="B106" i="2" s="1"/>
  <c r="B107" i="2" s="1"/>
  <c r="B108" i="2" s="1"/>
  <c r="B109" i="2" s="1"/>
  <c r="G202" i="13"/>
  <c r="E207" i="20"/>
  <c r="F207" i="20" s="1"/>
  <c r="E460" i="13"/>
  <c r="F460" i="13" s="1"/>
  <c r="G1153" i="13" l="1"/>
  <c r="D1068" i="13"/>
  <c r="E1068" i="13" s="1"/>
  <c r="F1068" i="13" s="1"/>
  <c r="D1069" i="13" s="1"/>
  <c r="G1067" i="13"/>
  <c r="E1154" i="13"/>
  <c r="F1154" i="13" s="1"/>
  <c r="D1155" i="13" s="1"/>
  <c r="F977" i="13"/>
  <c r="D978" i="13" s="1"/>
  <c r="E978" i="13" s="1"/>
  <c r="F50" i="50"/>
  <c r="H49" i="50"/>
  <c r="K49" i="50"/>
  <c r="D50" i="50" s="1"/>
  <c r="F549" i="13"/>
  <c r="D550" i="13" s="1"/>
  <c r="E550" i="13" s="1"/>
  <c r="F550" i="13" s="1"/>
  <c r="D473" i="20"/>
  <c r="E473" i="20" s="1"/>
  <c r="F473" i="20" s="1"/>
  <c r="D564" i="20"/>
  <c r="E564" i="20" s="1"/>
  <c r="F564" i="20" s="1"/>
  <c r="D565" i="20" s="1"/>
  <c r="D385" i="20"/>
  <c r="E385" i="20" s="1"/>
  <c r="F385" i="20" s="1"/>
  <c r="D899" i="13"/>
  <c r="G898" i="13"/>
  <c r="D811" i="13"/>
  <c r="G810" i="13"/>
  <c r="G203" i="13"/>
  <c r="F375" i="13"/>
  <c r="D376" i="13" s="1"/>
  <c r="E376" i="13" s="1"/>
  <c r="F376" i="13" s="1"/>
  <c r="D117" i="20"/>
  <c r="D114" i="13"/>
  <c r="G113" i="13"/>
  <c r="D636" i="13"/>
  <c r="G635" i="13"/>
  <c r="D461" i="13"/>
  <c r="G460" i="13"/>
  <c r="D208" i="20"/>
  <c r="A103" i="41"/>
  <c r="B104" i="41"/>
  <c r="K47" i="47"/>
  <c r="D48" i="47" s="1"/>
  <c r="H47" i="47"/>
  <c r="E109" i="2"/>
  <c r="E722" i="13"/>
  <c r="F722" i="13" s="1"/>
  <c r="D723" i="13" s="1"/>
  <c r="E740" i="20"/>
  <c r="F740" i="20" s="1"/>
  <c r="D741" i="20" s="1"/>
  <c r="E204" i="13"/>
  <c r="F204" i="13" s="1"/>
  <c r="D205" i="13" s="1"/>
  <c r="E295" i="20"/>
  <c r="F295" i="20" s="1"/>
  <c r="B111" i="2"/>
  <c r="B113" i="2" s="1"/>
  <c r="B115" i="2" s="1"/>
  <c r="B117" i="2" s="1"/>
  <c r="B118" i="2" s="1"/>
  <c r="K48" i="49"/>
  <c r="D49" i="49" s="1"/>
  <c r="H48" i="49"/>
  <c r="E653" i="20"/>
  <c r="F653" i="20" s="1"/>
  <c r="E287" i="13"/>
  <c r="F287" i="13" s="1"/>
  <c r="D288" i="13" s="1"/>
  <c r="G1154" i="13" l="1"/>
  <c r="E1155" i="13"/>
  <c r="F1155" i="13" s="1"/>
  <c r="D1156" i="13" s="1"/>
  <c r="G1068" i="13"/>
  <c r="E1069" i="13"/>
  <c r="F1069" i="13" s="1"/>
  <c r="D1070" i="13" s="1"/>
  <c r="G977" i="13"/>
  <c r="F978" i="13"/>
  <c r="D979" i="13" s="1"/>
  <c r="E979" i="13" s="1"/>
  <c r="K50" i="50"/>
  <c r="H50" i="50"/>
  <c r="H51" i="50" s="1"/>
  <c r="G549" i="13"/>
  <c r="D474" i="20"/>
  <c r="E474" i="20" s="1"/>
  <c r="F474" i="20" s="1"/>
  <c r="D475" i="20" s="1"/>
  <c r="D654" i="20"/>
  <c r="E654" i="20" s="1"/>
  <c r="F654" i="20" s="1"/>
  <c r="E899" i="13"/>
  <c r="F899" i="13" s="1"/>
  <c r="E811" i="13"/>
  <c r="F811" i="13" s="1"/>
  <c r="D551" i="13"/>
  <c r="G550" i="13"/>
  <c r="G375" i="13"/>
  <c r="D296" i="20"/>
  <c r="D377" i="13"/>
  <c r="G376" i="13"/>
  <c r="D386" i="20"/>
  <c r="K49" i="49"/>
  <c r="D50" i="49" s="1"/>
  <c r="H49" i="49"/>
  <c r="G204" i="13"/>
  <c r="E636" i="13"/>
  <c r="F636" i="13" s="1"/>
  <c r="D637" i="13" s="1"/>
  <c r="E205" i="13"/>
  <c r="F205" i="13" s="1"/>
  <c r="K48" i="47"/>
  <c r="D49" i="47" s="1"/>
  <c r="H48" i="47"/>
  <c r="A104" i="41"/>
  <c r="E262" i="2"/>
  <c r="E114" i="13"/>
  <c r="F114" i="13" s="1"/>
  <c r="E741" i="20"/>
  <c r="F741" i="20" s="1"/>
  <c r="E288" i="13"/>
  <c r="F288" i="13" s="1"/>
  <c r="E461" i="13"/>
  <c r="F461" i="13" s="1"/>
  <c r="B119" i="2"/>
  <c r="B121" i="2" s="1"/>
  <c r="B122" i="2" s="1"/>
  <c r="B123" i="2" s="1"/>
  <c r="B124" i="2" s="1"/>
  <c r="B125" i="2" s="1"/>
  <c r="B126" i="2" s="1"/>
  <c r="B127" i="2" s="1"/>
  <c r="E208" i="20"/>
  <c r="F208" i="20" s="1"/>
  <c r="E723" i="13"/>
  <c r="F723" i="13" s="1"/>
  <c r="D724" i="13" s="1"/>
  <c r="E565" i="20"/>
  <c r="F565" i="20" s="1"/>
  <c r="G287" i="13"/>
  <c r="G722" i="13"/>
  <c r="E117" i="20"/>
  <c r="F117" i="20" s="1"/>
  <c r="G1069" i="13" l="1"/>
  <c r="G1155" i="13"/>
  <c r="E1070" i="13"/>
  <c r="F1070" i="13" s="1"/>
  <c r="E1156" i="13"/>
  <c r="F1156" i="13" s="1"/>
  <c r="D1157" i="13" s="1"/>
  <c r="G978" i="13"/>
  <c r="F979" i="13"/>
  <c r="D980" i="13" s="1"/>
  <c r="E980" i="13" s="1"/>
  <c r="D118" i="20"/>
  <c r="D900" i="13"/>
  <c r="G899" i="13"/>
  <c r="D812" i="13"/>
  <c r="E812" i="13" s="1"/>
  <c r="F812" i="13" s="1"/>
  <c r="G811" i="13"/>
  <c r="E551" i="13"/>
  <c r="F551" i="13" s="1"/>
  <c r="D552" i="13" s="1"/>
  <c r="D115" i="13"/>
  <c r="G114" i="13"/>
  <c r="D206" i="13"/>
  <c r="G205" i="13"/>
  <c r="D566" i="20"/>
  <c r="D742" i="20"/>
  <c r="D462" i="13"/>
  <c r="G461" i="13"/>
  <c r="D289" i="13"/>
  <c r="G288" i="13"/>
  <c r="D209" i="20"/>
  <c r="D655" i="20"/>
  <c r="A105" i="41"/>
  <c r="B105" i="41"/>
  <c r="E637" i="13"/>
  <c r="F637" i="13" s="1"/>
  <c r="D638" i="13" s="1"/>
  <c r="G636" i="13"/>
  <c r="E724" i="13"/>
  <c r="F724" i="13" s="1"/>
  <c r="D725" i="13" s="1"/>
  <c r="E127" i="2"/>
  <c r="E377" i="13"/>
  <c r="F377" i="13" s="1"/>
  <c r="E386" i="20"/>
  <c r="F386" i="20" s="1"/>
  <c r="B129" i="2"/>
  <c r="D131" i="2" s="1"/>
  <c r="E475" i="20"/>
  <c r="F475" i="20" s="1"/>
  <c r="D476" i="20" s="1"/>
  <c r="K50" i="49"/>
  <c r="H50" i="49"/>
  <c r="H51" i="49" s="1"/>
  <c r="K49" i="47"/>
  <c r="D50" i="47" s="1"/>
  <c r="H49" i="47"/>
  <c r="G723" i="13"/>
  <c r="E296" i="20"/>
  <c r="F296" i="20" s="1"/>
  <c r="D297" i="20" s="1"/>
  <c r="D1071" i="13" l="1"/>
  <c r="E1071" i="13" s="1"/>
  <c r="F1071" i="13" s="1"/>
  <c r="G1070" i="13"/>
  <c r="G1156" i="13"/>
  <c r="E1157" i="13"/>
  <c r="F1157" i="13" s="1"/>
  <c r="G979" i="13"/>
  <c r="F980" i="13"/>
  <c r="D981" i="13" s="1"/>
  <c r="E981" i="13" s="1"/>
  <c r="E118" i="20"/>
  <c r="F118" i="20" s="1"/>
  <c r="E900" i="13"/>
  <c r="F900" i="13" s="1"/>
  <c r="G551" i="13"/>
  <c r="G812" i="13"/>
  <c r="D813" i="13"/>
  <c r="E552" i="13"/>
  <c r="F552" i="13" s="1"/>
  <c r="D378" i="13"/>
  <c r="G377" i="13"/>
  <c r="D387" i="20"/>
  <c r="E297" i="20"/>
  <c r="F297" i="20" s="1"/>
  <c r="E638" i="13"/>
  <c r="F638" i="13" s="1"/>
  <c r="D639" i="13" s="1"/>
  <c r="E742" i="20"/>
  <c r="F742" i="20" s="1"/>
  <c r="E209" i="20"/>
  <c r="F209" i="20" s="1"/>
  <c r="E289" i="13"/>
  <c r="F289" i="13" s="1"/>
  <c r="E566" i="20"/>
  <c r="F566" i="20" s="1"/>
  <c r="G724" i="13"/>
  <c r="E725" i="13"/>
  <c r="F725" i="13" s="1"/>
  <c r="K50" i="47"/>
  <c r="H50" i="47"/>
  <c r="H51" i="47" s="1"/>
  <c r="D315" i="2"/>
  <c r="B131" i="2"/>
  <c r="E462" i="13"/>
  <c r="F462" i="13" s="1"/>
  <c r="D463" i="13" s="1"/>
  <c r="E206" i="13"/>
  <c r="F206" i="13" s="1"/>
  <c r="D207" i="13" s="1"/>
  <c r="E476" i="20"/>
  <c r="F476" i="20" s="1"/>
  <c r="D477" i="20" s="1"/>
  <c r="E655" i="20"/>
  <c r="F655" i="20" s="1"/>
  <c r="D656" i="20" s="1"/>
  <c r="G637" i="13"/>
  <c r="E115" i="13"/>
  <c r="F115" i="13" s="1"/>
  <c r="D1072" i="13" l="1"/>
  <c r="E1072" i="13" s="1"/>
  <c r="F1072" i="13" s="1"/>
  <c r="G1071" i="13"/>
  <c r="D1158" i="13"/>
  <c r="G1157" i="13"/>
  <c r="G980" i="13"/>
  <c r="F981" i="13"/>
  <c r="D982" i="13" s="1"/>
  <c r="E982" i="13" s="1"/>
  <c r="D119" i="20"/>
  <c r="D901" i="13"/>
  <c r="G900" i="13"/>
  <c r="E813" i="13"/>
  <c r="F813" i="13" s="1"/>
  <c r="D553" i="13"/>
  <c r="G552" i="13"/>
  <c r="E378" i="13"/>
  <c r="F378" i="13" s="1"/>
  <c r="D290" i="13"/>
  <c r="G289" i="13"/>
  <c r="D726" i="13"/>
  <c r="G725" i="13"/>
  <c r="D210" i="20"/>
  <c r="D298" i="20"/>
  <c r="D116" i="13"/>
  <c r="G115" i="13"/>
  <c r="D567" i="20"/>
  <c r="D743" i="20"/>
  <c r="G206" i="13"/>
  <c r="C28" i="13"/>
  <c r="C28" i="20"/>
  <c r="B146" i="2"/>
  <c r="E656" i="20"/>
  <c r="F656" i="20" s="1"/>
  <c r="D657" i="20" s="1"/>
  <c r="G638" i="13"/>
  <c r="E463" i="13"/>
  <c r="F463" i="13" s="1"/>
  <c r="E639" i="13"/>
  <c r="F639" i="13" s="1"/>
  <c r="D640" i="13" s="1"/>
  <c r="E477" i="20"/>
  <c r="F477" i="20" s="1"/>
  <c r="E207" i="13"/>
  <c r="F207" i="13" s="1"/>
  <c r="D208" i="13" s="1"/>
  <c r="G462" i="13"/>
  <c r="E387" i="20"/>
  <c r="F387" i="20" s="1"/>
  <c r="D388" i="20" s="1"/>
  <c r="D1073" i="13" l="1"/>
  <c r="G1072" i="13"/>
  <c r="E1158" i="13"/>
  <c r="F1158" i="13" s="1"/>
  <c r="G981" i="13"/>
  <c r="F982" i="13"/>
  <c r="D983" i="13" s="1"/>
  <c r="E983" i="13" s="1"/>
  <c r="E119" i="20"/>
  <c r="F119" i="20" s="1"/>
  <c r="E901" i="13"/>
  <c r="F901" i="13" s="1"/>
  <c r="D814" i="13"/>
  <c r="G813" i="13"/>
  <c r="E553" i="13"/>
  <c r="F553" i="13" s="1"/>
  <c r="D379" i="13"/>
  <c r="E379" i="13" s="1"/>
  <c r="F379" i="13" s="1"/>
  <c r="G379" i="13" s="1"/>
  <c r="G378" i="13"/>
  <c r="D478" i="20"/>
  <c r="D464" i="13"/>
  <c r="G463" i="13"/>
  <c r="E298" i="20"/>
  <c r="F298" i="20" s="1"/>
  <c r="E208" i="13"/>
  <c r="F208" i="13" s="1"/>
  <c r="G207" i="13"/>
  <c r="E567" i="20"/>
  <c r="F567" i="20" s="1"/>
  <c r="E210" i="20"/>
  <c r="F210" i="20" s="1"/>
  <c r="E388" i="20"/>
  <c r="F388" i="20" s="1"/>
  <c r="E116" i="13"/>
  <c r="F116" i="13" s="1"/>
  <c r="E726" i="13"/>
  <c r="F726" i="13" s="1"/>
  <c r="D727" i="13" s="1"/>
  <c r="E657" i="20"/>
  <c r="F657" i="20" s="1"/>
  <c r="E640" i="13"/>
  <c r="F640" i="13" s="1"/>
  <c r="E743" i="20"/>
  <c r="F743" i="20" s="1"/>
  <c r="D744" i="20" s="1"/>
  <c r="G639" i="13"/>
  <c r="B147" i="2"/>
  <c r="B148" i="2" s="1"/>
  <c r="B149" i="2" s="1"/>
  <c r="B150" i="2" s="1"/>
  <c r="E151" i="2" s="1"/>
  <c r="E290" i="13"/>
  <c r="F290" i="13" s="1"/>
  <c r="D1159" i="13" l="1"/>
  <c r="G1158" i="13"/>
  <c r="E1073" i="13"/>
  <c r="F1073" i="13" s="1"/>
  <c r="D1074" i="13" s="1"/>
  <c r="G982" i="13"/>
  <c r="F983" i="13"/>
  <c r="D984" i="13" s="1"/>
  <c r="D211" i="20"/>
  <c r="E211" i="20" s="1"/>
  <c r="F211" i="20" s="1"/>
  <c r="D120" i="20"/>
  <c r="D554" i="13"/>
  <c r="E554" i="13" s="1"/>
  <c r="F554" i="13" s="1"/>
  <c r="D555" i="13" s="1"/>
  <c r="G553" i="13"/>
  <c r="D299" i="20"/>
  <c r="E299" i="20" s="1"/>
  <c r="F299" i="20" s="1"/>
  <c r="D902" i="13"/>
  <c r="G901" i="13"/>
  <c r="D380" i="13"/>
  <c r="E380" i="13" s="1"/>
  <c r="F380" i="13" s="1"/>
  <c r="D381" i="13" s="1"/>
  <c r="E814" i="13"/>
  <c r="F814" i="13" s="1"/>
  <c r="D658" i="20"/>
  <c r="D209" i="13"/>
  <c r="G208" i="13"/>
  <c r="D291" i="13"/>
  <c r="G290" i="13"/>
  <c r="D117" i="13"/>
  <c r="G116" i="13"/>
  <c r="D568" i="20"/>
  <c r="D641" i="13"/>
  <c r="G640" i="13"/>
  <c r="D389" i="20"/>
  <c r="E744" i="20"/>
  <c r="F744" i="20" s="1"/>
  <c r="E727" i="13"/>
  <c r="F727" i="13" s="1"/>
  <c r="D728" i="13" s="1"/>
  <c r="E478" i="20"/>
  <c r="F478" i="20" s="1"/>
  <c r="B151" i="2"/>
  <c r="B152" i="2" s="1"/>
  <c r="G726" i="13"/>
  <c r="E464" i="13"/>
  <c r="F464" i="13" s="1"/>
  <c r="D465" i="13" s="1"/>
  <c r="G1073" i="13" l="1"/>
  <c r="E1074" i="13"/>
  <c r="F1074" i="13" s="1"/>
  <c r="E1159" i="13"/>
  <c r="F1159" i="13" s="1"/>
  <c r="G983" i="13"/>
  <c r="E984" i="13"/>
  <c r="F984" i="13" s="1"/>
  <c r="E120" i="20"/>
  <c r="F120" i="20" s="1"/>
  <c r="D121" i="20" s="1"/>
  <c r="E121" i="20" s="1"/>
  <c r="F121" i="20" s="1"/>
  <c r="D122" i="20" s="1"/>
  <c r="G554" i="13"/>
  <c r="D815" i="13"/>
  <c r="E815" i="13" s="1"/>
  <c r="F815" i="13" s="1"/>
  <c r="G814" i="13"/>
  <c r="E902" i="13"/>
  <c r="F902" i="13" s="1"/>
  <c r="D903" i="13" s="1"/>
  <c r="E555" i="13"/>
  <c r="F555" i="13" s="1"/>
  <c r="D745" i="20"/>
  <c r="D479" i="20"/>
  <c r="D300" i="20"/>
  <c r="D212" i="20"/>
  <c r="B153" i="2"/>
  <c r="E44" i="2"/>
  <c r="D310" i="2"/>
  <c r="E291" i="13"/>
  <c r="F291" i="13" s="1"/>
  <c r="D292" i="13" s="1"/>
  <c r="E641" i="13"/>
  <c r="F641" i="13" s="1"/>
  <c r="E465" i="13"/>
  <c r="F465" i="13" s="1"/>
  <c r="G464" i="13"/>
  <c r="G727" i="13"/>
  <c r="E209" i="13"/>
  <c r="F209" i="13" s="1"/>
  <c r="E381" i="13"/>
  <c r="F381" i="13" s="1"/>
  <c r="E728" i="13"/>
  <c r="F728" i="13" s="1"/>
  <c r="E568" i="20"/>
  <c r="F568" i="20" s="1"/>
  <c r="E117" i="13"/>
  <c r="F117" i="13" s="1"/>
  <c r="G380" i="13"/>
  <c r="E389" i="20"/>
  <c r="F389" i="20" s="1"/>
  <c r="D390" i="20" s="1"/>
  <c r="E658" i="20"/>
  <c r="F658" i="20" s="1"/>
  <c r="D659" i="20" s="1"/>
  <c r="D1160" i="13" l="1"/>
  <c r="G1159" i="13"/>
  <c r="D1075" i="13"/>
  <c r="G1074" i="13"/>
  <c r="G984" i="13"/>
  <c r="D985" i="13"/>
  <c r="D569" i="20"/>
  <c r="E569" i="20" s="1"/>
  <c r="F569" i="20" s="1"/>
  <c r="G902" i="13"/>
  <c r="D556" i="13"/>
  <c r="E556" i="13" s="1"/>
  <c r="F556" i="13" s="1"/>
  <c r="D557" i="13" s="1"/>
  <c r="G555" i="13"/>
  <c r="E903" i="13"/>
  <c r="F903" i="13" s="1"/>
  <c r="D904" i="13" s="1"/>
  <c r="D816" i="13"/>
  <c r="G815" i="13"/>
  <c r="D118" i="13"/>
  <c r="E118" i="13" s="1"/>
  <c r="F118" i="13" s="1"/>
  <c r="G117" i="13"/>
  <c r="D466" i="13"/>
  <c r="G465" i="13"/>
  <c r="D210" i="13"/>
  <c r="G209" i="13"/>
  <c r="D642" i="13"/>
  <c r="G641" i="13"/>
  <c r="D729" i="13"/>
  <c r="G728" i="13"/>
  <c r="D382" i="13"/>
  <c r="G381" i="13"/>
  <c r="B154" i="2"/>
  <c r="E155" i="2" s="1"/>
  <c r="E292" i="13"/>
  <c r="F292" i="13" s="1"/>
  <c r="E479" i="20"/>
  <c r="F479" i="20" s="1"/>
  <c r="G291" i="13"/>
  <c r="E212" i="20"/>
  <c r="F212" i="20" s="1"/>
  <c r="D213" i="20" s="1"/>
  <c r="E122" i="20"/>
  <c r="F122" i="20" s="1"/>
  <c r="D123" i="20" s="1"/>
  <c r="E659" i="20"/>
  <c r="F659" i="20" s="1"/>
  <c r="E300" i="20"/>
  <c r="F300" i="20" s="1"/>
  <c r="E390" i="20"/>
  <c r="F390" i="20" s="1"/>
  <c r="E745" i="20"/>
  <c r="F745" i="20" s="1"/>
  <c r="D746" i="20" s="1"/>
  <c r="E1075" i="13" l="1"/>
  <c r="F1075" i="13" s="1"/>
  <c r="E1160" i="13"/>
  <c r="F1160" i="13" s="1"/>
  <c r="E985" i="13"/>
  <c r="F985" i="13" s="1"/>
  <c r="G903" i="13"/>
  <c r="G556" i="13"/>
  <c r="D301" i="20"/>
  <c r="E301" i="20" s="1"/>
  <c r="F301" i="20" s="1"/>
  <c r="D302" i="20" s="1"/>
  <c r="D660" i="20"/>
  <c r="E660" i="20" s="1"/>
  <c r="E904" i="13"/>
  <c r="F904" i="13" s="1"/>
  <c r="E816" i="13"/>
  <c r="F816" i="13" s="1"/>
  <c r="E557" i="13"/>
  <c r="F557" i="13" s="1"/>
  <c r="D558" i="13" s="1"/>
  <c r="E558" i="13" s="1"/>
  <c r="F558" i="13" s="1"/>
  <c r="D559" i="13" s="1"/>
  <c r="D119" i="13"/>
  <c r="E119" i="13" s="1"/>
  <c r="F119" i="13" s="1"/>
  <c r="D120" i="13" s="1"/>
  <c r="G118" i="13"/>
  <c r="D293" i="13"/>
  <c r="G292" i="13"/>
  <c r="D391" i="20"/>
  <c r="D480" i="20"/>
  <c r="D570" i="20"/>
  <c r="E729" i="13"/>
  <c r="F729" i="13" s="1"/>
  <c r="E642" i="13"/>
  <c r="F642" i="13" s="1"/>
  <c r="D643" i="13" s="1"/>
  <c r="D312" i="2"/>
  <c r="B155" i="2"/>
  <c r="E210" i="13"/>
  <c r="F210" i="13" s="1"/>
  <c r="D211" i="13" s="1"/>
  <c r="E123" i="20"/>
  <c r="F123" i="20" s="1"/>
  <c r="E746" i="20"/>
  <c r="F746" i="20" s="1"/>
  <c r="D747" i="20" s="1"/>
  <c r="E213" i="20"/>
  <c r="F213" i="20" s="1"/>
  <c r="E382" i="13"/>
  <c r="F382" i="13" s="1"/>
  <c r="E466" i="13"/>
  <c r="F466" i="13" s="1"/>
  <c r="D1161" i="13" l="1"/>
  <c r="G1160" i="13"/>
  <c r="D1076" i="13"/>
  <c r="G1075" i="13"/>
  <c r="D986" i="13"/>
  <c r="G985" i="13"/>
  <c r="F660" i="20"/>
  <c r="D661" i="20" s="1"/>
  <c r="E661" i="20" s="1"/>
  <c r="F661" i="20" s="1"/>
  <c r="D662" i="20" s="1"/>
  <c r="D124" i="20"/>
  <c r="E124" i="20" s="1"/>
  <c r="F124" i="20" s="1"/>
  <c r="D125" i="20" s="1"/>
  <c r="D905" i="13"/>
  <c r="G904" i="13"/>
  <c r="D817" i="13"/>
  <c r="G816" i="13"/>
  <c r="D467" i="13"/>
  <c r="E467" i="13" s="1"/>
  <c r="F467" i="13" s="1"/>
  <c r="D468" i="13" s="1"/>
  <c r="G466" i="13"/>
  <c r="G210" i="13"/>
  <c r="G557" i="13"/>
  <c r="G558" i="13"/>
  <c r="D214" i="20"/>
  <c r="D730" i="13"/>
  <c r="G729" i="13"/>
  <c r="D383" i="13"/>
  <c r="G382" i="13"/>
  <c r="E120" i="13"/>
  <c r="F120" i="13" s="1"/>
  <c r="E480" i="20"/>
  <c r="F480" i="20" s="1"/>
  <c r="D481" i="20" s="1"/>
  <c r="G642" i="13"/>
  <c r="G119" i="13"/>
  <c r="E293" i="13"/>
  <c r="F293" i="13" s="1"/>
  <c r="D294" i="13" s="1"/>
  <c r="E211" i="13"/>
  <c r="F211" i="13" s="1"/>
  <c r="E747" i="20"/>
  <c r="F747" i="20" s="1"/>
  <c r="D748" i="20" s="1"/>
  <c r="E643" i="13"/>
  <c r="F643" i="13" s="1"/>
  <c r="E559" i="13"/>
  <c r="F559" i="13" s="1"/>
  <c r="D560" i="13" s="1"/>
  <c r="E302" i="20"/>
  <c r="F302" i="20" s="1"/>
  <c r="D309" i="2"/>
  <c r="B157" i="2"/>
  <c r="E118" i="2"/>
  <c r="E570" i="20"/>
  <c r="F570" i="20" s="1"/>
  <c r="E391" i="20"/>
  <c r="F391" i="20" s="1"/>
  <c r="E1076" i="13" l="1"/>
  <c r="F1076" i="13" s="1"/>
  <c r="E1161" i="13"/>
  <c r="F1161" i="13" s="1"/>
  <c r="E986" i="13"/>
  <c r="F986" i="13" s="1"/>
  <c r="G293" i="13"/>
  <c r="D392" i="20"/>
  <c r="E392" i="20" s="1"/>
  <c r="E905" i="13"/>
  <c r="F905" i="13" s="1"/>
  <c r="D906" i="13" s="1"/>
  <c r="E817" i="13"/>
  <c r="F817" i="13" s="1"/>
  <c r="D121" i="13"/>
  <c r="G120" i="13"/>
  <c r="D303" i="20"/>
  <c r="D212" i="13"/>
  <c r="G211" i="13"/>
  <c r="D644" i="13"/>
  <c r="G643" i="13"/>
  <c r="D571" i="20"/>
  <c r="E560" i="13"/>
  <c r="F560" i="13" s="1"/>
  <c r="D561" i="13" s="1"/>
  <c r="G559" i="13"/>
  <c r="E294" i="13"/>
  <c r="F294" i="13" s="1"/>
  <c r="D295" i="13" s="1"/>
  <c r="G467" i="13"/>
  <c r="E662" i="20"/>
  <c r="F662" i="20" s="1"/>
  <c r="E383" i="13"/>
  <c r="F383" i="13" s="1"/>
  <c r="B158" i="2"/>
  <c r="E125" i="20"/>
  <c r="F125" i="20" s="1"/>
  <c r="D126" i="20" s="1"/>
  <c r="E748" i="20"/>
  <c r="F748" i="20" s="1"/>
  <c r="D749" i="20" s="1"/>
  <c r="E730" i="13"/>
  <c r="F730" i="13" s="1"/>
  <c r="D731" i="13" s="1"/>
  <c r="E468" i="13"/>
  <c r="F468" i="13" s="1"/>
  <c r="E214" i="20"/>
  <c r="F214" i="20" s="1"/>
  <c r="E481" i="20"/>
  <c r="F481" i="20" s="1"/>
  <c r="D1077" i="13" l="1"/>
  <c r="E1077" i="13" s="1"/>
  <c r="F1077" i="13" s="1"/>
  <c r="G1076" i="13"/>
  <c r="D1162" i="13"/>
  <c r="G1161" i="13"/>
  <c r="D987" i="13"/>
  <c r="G986" i="13"/>
  <c r="F392" i="20"/>
  <c r="D393" i="20" s="1"/>
  <c r="E393" i="20" s="1"/>
  <c r="F393" i="20" s="1"/>
  <c r="D482" i="20"/>
  <c r="E482" i="20" s="1"/>
  <c r="F482" i="20" s="1"/>
  <c r="E906" i="13"/>
  <c r="F906" i="13" s="1"/>
  <c r="D907" i="13" s="1"/>
  <c r="G905" i="13"/>
  <c r="D818" i="13"/>
  <c r="G817" i="13"/>
  <c r="D384" i="13"/>
  <c r="G383" i="13"/>
  <c r="D469" i="13"/>
  <c r="G468" i="13"/>
  <c r="D663" i="20"/>
  <c r="D215" i="20"/>
  <c r="E121" i="13"/>
  <c r="F121" i="13" s="1"/>
  <c r="D122" i="13" s="1"/>
  <c r="E644" i="13"/>
  <c r="F644" i="13" s="1"/>
  <c r="D645" i="13" s="1"/>
  <c r="G560" i="13"/>
  <c r="E126" i="20"/>
  <c r="F126" i="20" s="1"/>
  <c r="E167" i="2"/>
  <c r="B159" i="2"/>
  <c r="B160" i="2" s="1"/>
  <c r="B161" i="2" s="1"/>
  <c r="B162" i="2" s="1"/>
  <c r="B163" i="2" s="1"/>
  <c r="B164" i="2" s="1"/>
  <c r="B165" i="2" s="1"/>
  <c r="E749" i="20"/>
  <c r="F749" i="20" s="1"/>
  <c r="E295" i="13"/>
  <c r="F295" i="13" s="1"/>
  <c r="D296" i="13" s="1"/>
  <c r="E561" i="13"/>
  <c r="F561" i="13" s="1"/>
  <c r="D562" i="13" s="1"/>
  <c r="G730" i="13"/>
  <c r="E731" i="13"/>
  <c r="F731" i="13" s="1"/>
  <c r="E571" i="20"/>
  <c r="F571" i="20" s="1"/>
  <c r="E212" i="13"/>
  <c r="F212" i="13" s="1"/>
  <c r="G294" i="13"/>
  <c r="E303" i="20"/>
  <c r="F303" i="20" s="1"/>
  <c r="D1078" i="13" l="1"/>
  <c r="G1077" i="13"/>
  <c r="E1162" i="13"/>
  <c r="F1162" i="13" s="1"/>
  <c r="D1163" i="13" s="1"/>
  <c r="E987" i="13"/>
  <c r="F987" i="13" s="1"/>
  <c r="D394" i="20"/>
  <c r="E394" i="20" s="1"/>
  <c r="F394" i="20" s="1"/>
  <c r="D304" i="20"/>
  <c r="E304" i="20" s="1"/>
  <c r="F304" i="20" s="1"/>
  <c r="G644" i="13"/>
  <c r="D213" i="13"/>
  <c r="E213" i="13" s="1"/>
  <c r="F213" i="13" s="1"/>
  <c r="G212" i="13"/>
  <c r="E907" i="13"/>
  <c r="F907" i="13" s="1"/>
  <c r="D908" i="13" s="1"/>
  <c r="G906" i="13"/>
  <c r="E818" i="13"/>
  <c r="F818" i="13" s="1"/>
  <c r="G121" i="13"/>
  <c r="D732" i="13"/>
  <c r="E732" i="13" s="1"/>
  <c r="G731" i="13"/>
  <c r="D750" i="20"/>
  <c r="D127" i="20"/>
  <c r="D572" i="20"/>
  <c r="D483" i="20"/>
  <c r="E296" i="13"/>
  <c r="F296" i="13" s="1"/>
  <c r="E215" i="20"/>
  <c r="F215" i="20" s="1"/>
  <c r="E562" i="13"/>
  <c r="F562" i="13" s="1"/>
  <c r="D563" i="13" s="1"/>
  <c r="G295" i="13"/>
  <c r="E122" i="13"/>
  <c r="F122" i="13" s="1"/>
  <c r="D123" i="13" s="1"/>
  <c r="E645" i="13"/>
  <c r="F645" i="13" s="1"/>
  <c r="E663" i="20"/>
  <c r="F663" i="20" s="1"/>
  <c r="G561" i="13"/>
  <c r="E165" i="2"/>
  <c r="E469" i="13"/>
  <c r="F469" i="13" s="1"/>
  <c r="B167" i="2"/>
  <c r="B168" i="2" s="1"/>
  <c r="B169" i="2" s="1"/>
  <c r="B170" i="2" s="1"/>
  <c r="B171" i="2" s="1"/>
  <c r="B172" i="2" s="1"/>
  <c r="E384" i="13"/>
  <c r="F384" i="13" s="1"/>
  <c r="D385" i="13" s="1"/>
  <c r="G1162" i="13" l="1"/>
  <c r="E1163" i="13"/>
  <c r="F1163" i="13" s="1"/>
  <c r="D1164" i="13" s="1"/>
  <c r="E1078" i="13"/>
  <c r="F1078" i="13" s="1"/>
  <c r="D988" i="13"/>
  <c r="E988" i="13" s="1"/>
  <c r="F988" i="13" s="1"/>
  <c r="G987" i="13"/>
  <c r="D819" i="13"/>
  <c r="E819" i="13" s="1"/>
  <c r="F819" i="13" s="1"/>
  <c r="G818" i="13"/>
  <c r="E908" i="13"/>
  <c r="F908" i="13" s="1"/>
  <c r="F732" i="13"/>
  <c r="D733" i="13" s="1"/>
  <c r="E733" i="13" s="1"/>
  <c r="F733" i="13" s="1"/>
  <c r="D734" i="13" s="1"/>
  <c r="G907" i="13"/>
  <c r="D214" i="13"/>
  <c r="E214" i="13" s="1"/>
  <c r="F214" i="13" s="1"/>
  <c r="G213" i="13"/>
  <c r="G122" i="13"/>
  <c r="D305" i="20"/>
  <c r="D297" i="13"/>
  <c r="G296" i="13"/>
  <c r="D395" i="20"/>
  <c r="D216" i="20"/>
  <c r="D470" i="13"/>
  <c r="G469" i="13"/>
  <c r="D664" i="20"/>
  <c r="D646" i="13"/>
  <c r="G645" i="13"/>
  <c r="G384" i="13"/>
  <c r="E572" i="20"/>
  <c r="F572" i="20" s="1"/>
  <c r="D573" i="20" s="1"/>
  <c r="G562" i="13"/>
  <c r="E385" i="13"/>
  <c r="F385" i="13" s="1"/>
  <c r="E563" i="13"/>
  <c r="F563" i="13" s="1"/>
  <c r="B174" i="2"/>
  <c r="D313" i="2"/>
  <c r="E174" i="2"/>
  <c r="E127" i="20"/>
  <c r="F127" i="20" s="1"/>
  <c r="E123" i="13"/>
  <c r="F123" i="13" s="1"/>
  <c r="D124" i="13" s="1"/>
  <c r="E483" i="20"/>
  <c r="F483" i="20" s="1"/>
  <c r="E172" i="2"/>
  <c r="E750" i="20"/>
  <c r="F750" i="20" s="1"/>
  <c r="D751" i="20" s="1"/>
  <c r="G1163" i="13" l="1"/>
  <c r="D1079" i="13"/>
  <c r="G1078" i="13"/>
  <c r="E1164" i="13"/>
  <c r="F1164" i="13" s="1"/>
  <c r="D1165" i="13" s="1"/>
  <c r="D989" i="13"/>
  <c r="G988" i="13"/>
  <c r="G732" i="13"/>
  <c r="D386" i="13"/>
  <c r="E386" i="13" s="1"/>
  <c r="F386" i="13" s="1"/>
  <c r="D387" i="13" s="1"/>
  <c r="G385" i="13"/>
  <c r="D909" i="13"/>
  <c r="G908" i="13"/>
  <c r="G819" i="13"/>
  <c r="D820" i="13"/>
  <c r="D215" i="13"/>
  <c r="E215" i="13" s="1"/>
  <c r="F215" i="13" s="1"/>
  <c r="G214" i="13"/>
  <c r="D564" i="13"/>
  <c r="E564" i="13" s="1"/>
  <c r="F564" i="13" s="1"/>
  <c r="G563" i="13"/>
  <c r="D484" i="20"/>
  <c r="D128" i="20"/>
  <c r="E124" i="13"/>
  <c r="F124" i="13" s="1"/>
  <c r="D125" i="13" s="1"/>
  <c r="E664" i="20"/>
  <c r="F664" i="20" s="1"/>
  <c r="E395" i="20"/>
  <c r="F395" i="20" s="1"/>
  <c r="E470" i="13"/>
  <c r="F470" i="13" s="1"/>
  <c r="E297" i="13"/>
  <c r="F297" i="13" s="1"/>
  <c r="E751" i="20"/>
  <c r="F751" i="20" s="1"/>
  <c r="B175" i="2"/>
  <c r="E176" i="2" s="1"/>
  <c r="E573" i="20"/>
  <c r="F573" i="20" s="1"/>
  <c r="G733" i="13"/>
  <c r="E734" i="13"/>
  <c r="F734" i="13" s="1"/>
  <c r="D735" i="13" s="1"/>
  <c r="G123" i="13"/>
  <c r="E646" i="13"/>
  <c r="F646" i="13" s="1"/>
  <c r="D647" i="13" s="1"/>
  <c r="E216" i="20"/>
  <c r="F216" i="20" s="1"/>
  <c r="D217" i="20" s="1"/>
  <c r="E305" i="20"/>
  <c r="F305" i="20" s="1"/>
  <c r="G1164" i="13" l="1"/>
  <c r="E1165" i="13"/>
  <c r="F1165" i="13" s="1"/>
  <c r="D1166" i="13" s="1"/>
  <c r="E1079" i="13"/>
  <c r="F1079" i="13" s="1"/>
  <c r="E989" i="13"/>
  <c r="F989" i="13" s="1"/>
  <c r="E909" i="13"/>
  <c r="F909" i="13" s="1"/>
  <c r="E820" i="13"/>
  <c r="F820" i="13" s="1"/>
  <c r="D471" i="13"/>
  <c r="G470" i="13"/>
  <c r="D752" i="20"/>
  <c r="D396" i="20"/>
  <c r="D565" i="13"/>
  <c r="G564" i="13"/>
  <c r="D216" i="13"/>
  <c r="G215" i="13"/>
  <c r="D665" i="20"/>
  <c r="D306" i="20"/>
  <c r="D574" i="20"/>
  <c r="D298" i="13"/>
  <c r="G297" i="13"/>
  <c r="E125" i="13"/>
  <c r="F125" i="13" s="1"/>
  <c r="D126" i="13" s="1"/>
  <c r="G734" i="13"/>
  <c r="G646" i="13"/>
  <c r="E735" i="13"/>
  <c r="F735" i="13" s="1"/>
  <c r="E128" i="20"/>
  <c r="F128" i="20" s="1"/>
  <c r="E217" i="20"/>
  <c r="F217" i="20" s="1"/>
  <c r="C48" i="20"/>
  <c r="C48" i="13"/>
  <c r="D326" i="2"/>
  <c r="B176" i="2"/>
  <c r="E30" i="2"/>
  <c r="D328" i="2"/>
  <c r="D323" i="2"/>
  <c r="E387" i="13"/>
  <c r="F387" i="13" s="1"/>
  <c r="D388" i="13" s="1"/>
  <c r="E647" i="13"/>
  <c r="F647" i="13" s="1"/>
  <c r="G386" i="13"/>
  <c r="G124" i="13"/>
  <c r="E484" i="20"/>
  <c r="F484" i="20" s="1"/>
  <c r="D1080" i="13" l="1"/>
  <c r="E1080" i="13" s="1"/>
  <c r="F1080" i="13" s="1"/>
  <c r="G1079" i="13"/>
  <c r="G1165" i="13"/>
  <c r="E1166" i="13"/>
  <c r="F1166" i="13" s="1"/>
  <c r="G989" i="13"/>
  <c r="D990" i="13"/>
  <c r="D218" i="20"/>
  <c r="E218" i="20" s="1"/>
  <c r="F218" i="20" s="1"/>
  <c r="D219" i="20" s="1"/>
  <c r="D129" i="20"/>
  <c r="E129" i="20" s="1"/>
  <c r="F129" i="20" s="1"/>
  <c r="D910" i="13"/>
  <c r="G909" i="13"/>
  <c r="D821" i="13"/>
  <c r="G820" i="13"/>
  <c r="D736" i="13"/>
  <c r="E736" i="13" s="1"/>
  <c r="F736" i="13" s="1"/>
  <c r="G735" i="13"/>
  <c r="D485" i="20"/>
  <c r="D648" i="13"/>
  <c r="G647" i="13"/>
  <c r="E298" i="13"/>
  <c r="F298" i="13" s="1"/>
  <c r="D299" i="13" s="1"/>
  <c r="E665" i="20"/>
  <c r="F665" i="20" s="1"/>
  <c r="E388" i="13"/>
  <c r="F388" i="13" s="1"/>
  <c r="E396" i="20"/>
  <c r="F396" i="20" s="1"/>
  <c r="E306" i="20"/>
  <c r="F306" i="20" s="1"/>
  <c r="E574" i="20"/>
  <c r="F574" i="20" s="1"/>
  <c r="E216" i="13"/>
  <c r="F216" i="13" s="1"/>
  <c r="E752" i="20"/>
  <c r="F752" i="20" s="1"/>
  <c r="D753" i="20" s="1"/>
  <c r="B178" i="2"/>
  <c r="B179" i="2" s="1"/>
  <c r="E126" i="13"/>
  <c r="F126" i="13" s="1"/>
  <c r="D127" i="13" s="1"/>
  <c r="G387" i="13"/>
  <c r="G125" i="13"/>
  <c r="E565" i="13"/>
  <c r="F565" i="13" s="1"/>
  <c r="E471" i="13"/>
  <c r="F471" i="13" s="1"/>
  <c r="D1081" i="13" l="1"/>
  <c r="E1081" i="13" s="1"/>
  <c r="F1081" i="13" s="1"/>
  <c r="G1080" i="13"/>
  <c r="D1167" i="13"/>
  <c r="G1166" i="13"/>
  <c r="E990" i="13"/>
  <c r="F990" i="13" s="1"/>
  <c r="D666" i="20"/>
  <c r="E666" i="20" s="1"/>
  <c r="F666" i="20" s="1"/>
  <c r="D307" i="20"/>
  <c r="D575" i="20"/>
  <c r="E575" i="20" s="1"/>
  <c r="F575" i="20" s="1"/>
  <c r="D130" i="20"/>
  <c r="E130" i="20" s="1"/>
  <c r="F130" i="20" s="1"/>
  <c r="D131" i="20" s="1"/>
  <c r="E910" i="13"/>
  <c r="F910" i="13" s="1"/>
  <c r="E821" i="13"/>
  <c r="F821" i="13" s="1"/>
  <c r="G298" i="13"/>
  <c r="D737" i="13"/>
  <c r="G736" i="13"/>
  <c r="D217" i="13"/>
  <c r="G216" i="13"/>
  <c r="D397" i="20"/>
  <c r="D566" i="13"/>
  <c r="G565" i="13"/>
  <c r="D389" i="13"/>
  <c r="G388" i="13"/>
  <c r="D472" i="13"/>
  <c r="G471" i="13"/>
  <c r="G126" i="13"/>
  <c r="E648" i="13"/>
  <c r="F648" i="13" s="1"/>
  <c r="D649" i="13" s="1"/>
  <c r="E753" i="20"/>
  <c r="F753" i="20" s="1"/>
  <c r="D754" i="20" s="1"/>
  <c r="B180" i="2"/>
  <c r="B181" i="2" s="1"/>
  <c r="E127" i="13"/>
  <c r="F127" i="13" s="1"/>
  <c r="E219" i="20"/>
  <c r="F219" i="20" s="1"/>
  <c r="E299" i="13"/>
  <c r="F299" i="13" s="1"/>
  <c r="E485" i="20"/>
  <c r="F485" i="20" s="1"/>
  <c r="D1082" i="13" l="1"/>
  <c r="G1081" i="13"/>
  <c r="E1167" i="13"/>
  <c r="F1167" i="13" s="1"/>
  <c r="D991" i="13"/>
  <c r="G990" i="13"/>
  <c r="E307" i="20"/>
  <c r="F307" i="20" s="1"/>
  <c r="D486" i="20"/>
  <c r="E486" i="20" s="1"/>
  <c r="D911" i="13"/>
  <c r="G910" i="13"/>
  <c r="G821" i="13"/>
  <c r="D822" i="13"/>
  <c r="E737" i="13"/>
  <c r="F737" i="13" s="1"/>
  <c r="D128" i="13"/>
  <c r="E128" i="13" s="1"/>
  <c r="F128" i="13" s="1"/>
  <c r="G127" i="13"/>
  <c r="D576" i="20"/>
  <c r="D220" i="20"/>
  <c r="D300" i="13"/>
  <c r="G299" i="13"/>
  <c r="D667" i="20"/>
  <c r="E754" i="20"/>
  <c r="F754" i="20" s="1"/>
  <c r="E389" i="13"/>
  <c r="F389" i="13" s="1"/>
  <c r="E566" i="13"/>
  <c r="F566" i="13" s="1"/>
  <c r="C59" i="20"/>
  <c r="C76" i="20"/>
  <c r="C76" i="13"/>
  <c r="C59" i="13"/>
  <c r="B182" i="2"/>
  <c r="B183" i="2" s="1"/>
  <c r="B185" i="2" s="1"/>
  <c r="E34" i="2"/>
  <c r="G648" i="13"/>
  <c r="E397" i="20"/>
  <c r="F397" i="20" s="1"/>
  <c r="E649" i="13"/>
  <c r="F649" i="13" s="1"/>
  <c r="D650" i="13" s="1"/>
  <c r="E472" i="13"/>
  <c r="F472" i="13" s="1"/>
  <c r="D473" i="13" s="1"/>
  <c r="E131" i="20"/>
  <c r="F131" i="20" s="1"/>
  <c r="D132" i="20" s="1"/>
  <c r="E217" i="13"/>
  <c r="F217" i="13" s="1"/>
  <c r="D1168" i="13" l="1"/>
  <c r="E1168" i="13" s="1"/>
  <c r="F1168" i="13" s="1"/>
  <c r="G1167" i="13"/>
  <c r="E1082" i="13"/>
  <c r="F1082" i="13" s="1"/>
  <c r="D1083" i="13" s="1"/>
  <c r="E991" i="13"/>
  <c r="F991" i="13" s="1"/>
  <c r="D308" i="20"/>
  <c r="F486" i="20"/>
  <c r="D487" i="20" s="1"/>
  <c r="E487" i="20" s="1"/>
  <c r="F487" i="20" s="1"/>
  <c r="D398" i="20"/>
  <c r="E398" i="20" s="1"/>
  <c r="F398" i="20" s="1"/>
  <c r="E911" i="13"/>
  <c r="F911" i="13" s="1"/>
  <c r="D912" i="13" s="1"/>
  <c r="E822" i="13"/>
  <c r="F822" i="13" s="1"/>
  <c r="D738" i="13"/>
  <c r="E738" i="13" s="1"/>
  <c r="F738" i="13" s="1"/>
  <c r="D739" i="13" s="1"/>
  <c r="G737" i="13"/>
  <c r="D129" i="13"/>
  <c r="E129" i="13" s="1"/>
  <c r="F129" i="13" s="1"/>
  <c r="G128" i="13"/>
  <c r="D390" i="13"/>
  <c r="G389" i="13"/>
  <c r="D755" i="20"/>
  <c r="D567" i="13"/>
  <c r="G566" i="13"/>
  <c r="D218" i="13"/>
  <c r="G217" i="13"/>
  <c r="G472" i="13"/>
  <c r="E300" i="13"/>
  <c r="F300" i="13" s="1"/>
  <c r="D301" i="13" s="1"/>
  <c r="E650" i="13"/>
  <c r="F650" i="13" s="1"/>
  <c r="G649" i="13"/>
  <c r="B187" i="2"/>
  <c r="B188" i="2" s="1"/>
  <c r="B189" i="2" s="1"/>
  <c r="E220" i="20"/>
  <c r="F220" i="20" s="1"/>
  <c r="E473" i="13"/>
  <c r="F473" i="13" s="1"/>
  <c r="D474" i="13" s="1"/>
  <c r="E132" i="20"/>
  <c r="F132" i="20" s="1"/>
  <c r="E185" i="2"/>
  <c r="E667" i="20"/>
  <c r="F667" i="20" s="1"/>
  <c r="D668" i="20" s="1"/>
  <c r="E576" i="20"/>
  <c r="F576" i="20" s="1"/>
  <c r="G1082" i="13" l="1"/>
  <c r="D1169" i="13"/>
  <c r="G1168" i="13"/>
  <c r="E1083" i="13"/>
  <c r="F1083" i="13" s="1"/>
  <c r="D1084" i="13" s="1"/>
  <c r="D992" i="13"/>
  <c r="G991" i="13"/>
  <c r="E308" i="20"/>
  <c r="F308" i="20" s="1"/>
  <c r="D221" i="20"/>
  <c r="D488" i="20"/>
  <c r="E488" i="20" s="1"/>
  <c r="D823" i="13"/>
  <c r="E823" i="13" s="1"/>
  <c r="F823" i="13" s="1"/>
  <c r="G822" i="13"/>
  <c r="E912" i="13"/>
  <c r="F912" i="13" s="1"/>
  <c r="G911" i="13"/>
  <c r="G738" i="13"/>
  <c r="D130" i="13"/>
  <c r="G129" i="13"/>
  <c r="D133" i="20"/>
  <c r="D577" i="20"/>
  <c r="D651" i="13"/>
  <c r="G650" i="13"/>
  <c r="D399" i="20"/>
  <c r="G300" i="13"/>
  <c r="E567" i="13"/>
  <c r="F567" i="13" s="1"/>
  <c r="E301" i="13"/>
  <c r="F301" i="13" s="1"/>
  <c r="D302" i="13" s="1"/>
  <c r="E474" i="13"/>
  <c r="F474" i="13" s="1"/>
  <c r="D475" i="13" s="1"/>
  <c r="E218" i="13"/>
  <c r="F218" i="13" s="1"/>
  <c r="D219" i="13" s="1"/>
  <c r="E668" i="20"/>
  <c r="F668" i="20" s="1"/>
  <c r="B190" i="2"/>
  <c r="B191" i="2" s="1"/>
  <c r="B192" i="2" s="1"/>
  <c r="B193" i="2" s="1"/>
  <c r="B194" i="2" s="1"/>
  <c r="E755" i="20"/>
  <c r="F755" i="20" s="1"/>
  <c r="E739" i="13"/>
  <c r="F739" i="13" s="1"/>
  <c r="G473" i="13"/>
  <c r="E390" i="13"/>
  <c r="F390" i="13" s="1"/>
  <c r="G1083" i="13" l="1"/>
  <c r="E1084" i="13"/>
  <c r="F1084" i="13" s="1"/>
  <c r="D1085" i="13" s="1"/>
  <c r="E1169" i="13"/>
  <c r="F1169" i="13" s="1"/>
  <c r="E992" i="13"/>
  <c r="F992" i="13" s="1"/>
  <c r="E194" i="2"/>
  <c r="D309" i="20"/>
  <c r="D913" i="13"/>
  <c r="E913" i="13" s="1"/>
  <c r="G912" i="13"/>
  <c r="E221" i="20"/>
  <c r="F221" i="20" s="1"/>
  <c r="F488" i="20"/>
  <c r="G823" i="13"/>
  <c r="D824" i="13"/>
  <c r="D568" i="13"/>
  <c r="E568" i="13" s="1"/>
  <c r="F568" i="13" s="1"/>
  <c r="D569" i="13" s="1"/>
  <c r="G567" i="13"/>
  <c r="D740" i="13"/>
  <c r="G739" i="13"/>
  <c r="D756" i="20"/>
  <c r="D669" i="20"/>
  <c r="D391" i="13"/>
  <c r="G390" i="13"/>
  <c r="G301" i="13"/>
  <c r="E577" i="20"/>
  <c r="F577" i="20" s="1"/>
  <c r="E302" i="13"/>
  <c r="F302" i="13" s="1"/>
  <c r="D303" i="13" s="1"/>
  <c r="G218" i="13"/>
  <c r="E475" i="13"/>
  <c r="F475" i="13" s="1"/>
  <c r="E219" i="13"/>
  <c r="F219" i="13" s="1"/>
  <c r="E399" i="20"/>
  <c r="F399" i="20" s="1"/>
  <c r="E133" i="20"/>
  <c r="F133" i="20" s="1"/>
  <c r="G474" i="13"/>
  <c r="B196" i="2"/>
  <c r="B197" i="2" s="1"/>
  <c r="E651" i="13"/>
  <c r="F651" i="13" s="1"/>
  <c r="E130" i="13"/>
  <c r="F130" i="13" s="1"/>
  <c r="D131" i="13" s="1"/>
  <c r="D1170" i="13" l="1"/>
  <c r="E1170" i="13" s="1"/>
  <c r="F1170" i="13" s="1"/>
  <c r="G1169" i="13"/>
  <c r="G1084" i="13"/>
  <c r="E1085" i="13"/>
  <c r="F1085" i="13" s="1"/>
  <c r="D1086" i="13" s="1"/>
  <c r="G992" i="13"/>
  <c r="D993" i="13"/>
  <c r="D222" i="20"/>
  <c r="E222" i="20" s="1"/>
  <c r="F222" i="20" s="1"/>
  <c r="D223" i="20" s="1"/>
  <c r="F913" i="13"/>
  <c r="D914" i="13" s="1"/>
  <c r="E914" i="13" s="1"/>
  <c r="E309" i="20"/>
  <c r="F309" i="20" s="1"/>
  <c r="D489" i="20"/>
  <c r="E489" i="20" s="1"/>
  <c r="F489" i="20" s="1"/>
  <c r="D490" i="20" s="1"/>
  <c r="E824" i="13"/>
  <c r="F824" i="13" s="1"/>
  <c r="D220" i="13"/>
  <c r="G219" i="13"/>
  <c r="D578" i="20"/>
  <c r="D652" i="13"/>
  <c r="G651" i="13"/>
  <c r="D134" i="20"/>
  <c r="D476" i="13"/>
  <c r="G475" i="13"/>
  <c r="D400" i="20"/>
  <c r="E391" i="13"/>
  <c r="F391" i="13" s="1"/>
  <c r="D392" i="13" s="1"/>
  <c r="E669" i="20"/>
  <c r="F669" i="20" s="1"/>
  <c r="D670" i="20" s="1"/>
  <c r="E303" i="13"/>
  <c r="F303" i="13" s="1"/>
  <c r="D304" i="13" s="1"/>
  <c r="G130" i="13"/>
  <c r="E131" i="13"/>
  <c r="F131" i="13" s="1"/>
  <c r="E740" i="13"/>
  <c r="F740" i="13" s="1"/>
  <c r="E569" i="13"/>
  <c r="F569" i="13" s="1"/>
  <c r="G568" i="13"/>
  <c r="E756" i="20"/>
  <c r="F756" i="20" s="1"/>
  <c r="G302" i="13"/>
  <c r="D201" i="2"/>
  <c r="B198" i="2"/>
  <c r="G1085" i="13" l="1"/>
  <c r="D1171" i="13"/>
  <c r="E1171" i="13" s="1"/>
  <c r="F1171" i="13" s="1"/>
  <c r="G1170" i="13"/>
  <c r="E1086" i="13"/>
  <c r="F1086" i="13" s="1"/>
  <c r="D1087" i="13" s="1"/>
  <c r="E993" i="13"/>
  <c r="F993" i="13" s="1"/>
  <c r="F914" i="13"/>
  <c r="D915" i="13" s="1"/>
  <c r="E915" i="13" s="1"/>
  <c r="G913" i="13"/>
  <c r="D310" i="20"/>
  <c r="D757" i="20"/>
  <c r="E757" i="20" s="1"/>
  <c r="F757" i="20" s="1"/>
  <c r="G303" i="13"/>
  <c r="G391" i="13"/>
  <c r="D825" i="13"/>
  <c r="G824" i="13"/>
  <c r="D741" i="13"/>
  <c r="E741" i="13" s="1"/>
  <c r="F741" i="13" s="1"/>
  <c r="D742" i="13" s="1"/>
  <c r="G740" i="13"/>
  <c r="D132" i="13"/>
  <c r="E132" i="13" s="1"/>
  <c r="F132" i="13" s="1"/>
  <c r="G131" i="13"/>
  <c r="D570" i="13"/>
  <c r="G569" i="13"/>
  <c r="E670" i="20"/>
  <c r="F670" i="20" s="1"/>
  <c r="C35" i="20"/>
  <c r="B199" i="2"/>
  <c r="B200" i="2" s="1"/>
  <c r="B201" i="2" s="1"/>
  <c r="C35" i="13"/>
  <c r="E134" i="20"/>
  <c r="F134" i="20" s="1"/>
  <c r="E652" i="13"/>
  <c r="F652" i="13" s="1"/>
  <c r="D653" i="13" s="1"/>
  <c r="E400" i="20"/>
  <c r="F400" i="20" s="1"/>
  <c r="D401" i="20" s="1"/>
  <c r="E223" i="20"/>
  <c r="F223" i="20" s="1"/>
  <c r="D224" i="20" s="1"/>
  <c r="E490" i="20"/>
  <c r="F490" i="20" s="1"/>
  <c r="E392" i="13"/>
  <c r="F392" i="13" s="1"/>
  <c r="D393" i="13" s="1"/>
  <c r="E578" i="20"/>
  <c r="F578" i="20" s="1"/>
  <c r="D579" i="20" s="1"/>
  <c r="E304" i="13"/>
  <c r="F304" i="13" s="1"/>
  <c r="E476" i="13"/>
  <c r="F476" i="13" s="1"/>
  <c r="D477" i="13" s="1"/>
  <c r="E220" i="13"/>
  <c r="F220" i="13" s="1"/>
  <c r="G1086" i="13" l="1"/>
  <c r="D1172" i="13"/>
  <c r="G1171" i="13"/>
  <c r="E1087" i="13"/>
  <c r="F1087" i="13" s="1"/>
  <c r="D1088" i="13" s="1"/>
  <c r="G993" i="13"/>
  <c r="D994" i="13"/>
  <c r="G914" i="13"/>
  <c r="D135" i="20"/>
  <c r="E135" i="20" s="1"/>
  <c r="F135" i="20" s="1"/>
  <c r="D671" i="20"/>
  <c r="E671" i="20" s="1"/>
  <c r="F671" i="20" s="1"/>
  <c r="E310" i="20"/>
  <c r="F310" i="20" s="1"/>
  <c r="F915" i="13"/>
  <c r="E825" i="13"/>
  <c r="F825" i="13" s="1"/>
  <c r="D826" i="13" s="1"/>
  <c r="G476" i="13"/>
  <c r="G652" i="13"/>
  <c r="D305" i="13"/>
  <c r="G304" i="13"/>
  <c r="D758" i="20"/>
  <c r="D133" i="13"/>
  <c r="G132" i="13"/>
  <c r="D221" i="13"/>
  <c r="G220" i="13"/>
  <c r="D491" i="20"/>
  <c r="E477" i="13"/>
  <c r="F477" i="13" s="1"/>
  <c r="D478" i="13" s="1"/>
  <c r="E579" i="20"/>
  <c r="F579" i="20" s="1"/>
  <c r="E653" i="13"/>
  <c r="F653" i="13" s="1"/>
  <c r="G392" i="13"/>
  <c r="E393" i="13"/>
  <c r="F393" i="13" s="1"/>
  <c r="E401" i="20"/>
  <c r="F401" i="20" s="1"/>
  <c r="E224" i="20"/>
  <c r="F224" i="20" s="1"/>
  <c r="G741" i="13"/>
  <c r="E742" i="13"/>
  <c r="F742" i="13" s="1"/>
  <c r="B202" i="2"/>
  <c r="E207" i="2" s="1"/>
  <c r="E570" i="13"/>
  <c r="F570" i="13" s="1"/>
  <c r="G1087" i="13" l="1"/>
  <c r="E1088" i="13"/>
  <c r="F1088" i="13" s="1"/>
  <c r="E1172" i="13"/>
  <c r="F1172" i="13" s="1"/>
  <c r="D1173" i="13" s="1"/>
  <c r="E994" i="13"/>
  <c r="F994" i="13" s="1"/>
  <c r="D225" i="20"/>
  <c r="E225" i="20" s="1"/>
  <c r="F225" i="20" s="1"/>
  <c r="D580" i="20"/>
  <c r="E580" i="20" s="1"/>
  <c r="F580" i="20" s="1"/>
  <c r="D581" i="20" s="1"/>
  <c r="D311" i="20"/>
  <c r="D136" i="20"/>
  <c r="E136" i="20" s="1"/>
  <c r="F136" i="20" s="1"/>
  <c r="G825" i="13"/>
  <c r="D916" i="13"/>
  <c r="E916" i="13" s="1"/>
  <c r="G915" i="13"/>
  <c r="E826" i="13"/>
  <c r="F826" i="13" s="1"/>
  <c r="D827" i="13" s="1"/>
  <c r="E827" i="13" s="1"/>
  <c r="D654" i="13"/>
  <c r="G653" i="13"/>
  <c r="D394" i="13"/>
  <c r="G393" i="13"/>
  <c r="D402" i="20"/>
  <c r="D743" i="13"/>
  <c r="G742" i="13"/>
  <c r="D571" i="13"/>
  <c r="G570" i="13"/>
  <c r="D672" i="20"/>
  <c r="E133" i="13"/>
  <c r="F133" i="13" s="1"/>
  <c r="G477" i="13"/>
  <c r="E221" i="13"/>
  <c r="F221" i="13" s="1"/>
  <c r="D222" i="13" s="1"/>
  <c r="D354" i="2"/>
  <c r="B203" i="2"/>
  <c r="E478" i="13"/>
  <c r="F478" i="13" s="1"/>
  <c r="E758" i="20"/>
  <c r="F758" i="20" s="1"/>
  <c r="D759" i="20" s="1"/>
  <c r="E491" i="20"/>
  <c r="F491" i="20" s="1"/>
  <c r="D492" i="20" s="1"/>
  <c r="E305" i="13"/>
  <c r="F305" i="13" s="1"/>
  <c r="D1089" i="13" l="1"/>
  <c r="E1089" i="13" s="1"/>
  <c r="F1089" i="13" s="1"/>
  <c r="G1088" i="13"/>
  <c r="E1173" i="13"/>
  <c r="F1173" i="13" s="1"/>
  <c r="G1172" i="13"/>
  <c r="D995" i="13"/>
  <c r="G994" i="13"/>
  <c r="E311" i="20"/>
  <c r="F311" i="20" s="1"/>
  <c r="D312" i="20" s="1"/>
  <c r="G826" i="13"/>
  <c r="F916" i="13"/>
  <c r="F827" i="13"/>
  <c r="D828" i="13" s="1"/>
  <c r="E828" i="13" s="1"/>
  <c r="D134" i="13"/>
  <c r="G133" i="13"/>
  <c r="D137" i="20"/>
  <c r="D306" i="13"/>
  <c r="G305" i="13"/>
  <c r="D479" i="13"/>
  <c r="G478" i="13"/>
  <c r="D226" i="20"/>
  <c r="E222" i="13"/>
  <c r="F222" i="13" s="1"/>
  <c r="E581" i="20"/>
  <c r="F581" i="20" s="1"/>
  <c r="E759" i="20"/>
  <c r="F759" i="20" s="1"/>
  <c r="E402" i="20"/>
  <c r="F402" i="20" s="1"/>
  <c r="E672" i="20"/>
  <c r="F672" i="20" s="1"/>
  <c r="E394" i="13"/>
  <c r="F394" i="13" s="1"/>
  <c r="E492" i="20"/>
  <c r="F492" i="20" s="1"/>
  <c r="E743" i="13"/>
  <c r="F743" i="13" s="1"/>
  <c r="D744" i="13" s="1"/>
  <c r="B204" i="2"/>
  <c r="E208" i="2"/>
  <c r="G221" i="13"/>
  <c r="E571" i="13"/>
  <c r="F571" i="13" s="1"/>
  <c r="E654" i="13"/>
  <c r="F654" i="13" s="1"/>
  <c r="D1174" i="13" l="1"/>
  <c r="E1174" i="13" s="1"/>
  <c r="F1174" i="13" s="1"/>
  <c r="G1173" i="13"/>
  <c r="D1090" i="13"/>
  <c r="G1089" i="13"/>
  <c r="E995" i="13"/>
  <c r="F995" i="13" s="1"/>
  <c r="E312" i="20"/>
  <c r="F312" i="20" s="1"/>
  <c r="D313" i="20" s="1"/>
  <c r="D403" i="20"/>
  <c r="E403" i="20" s="1"/>
  <c r="F403" i="20" s="1"/>
  <c r="D404" i="20" s="1"/>
  <c r="G827" i="13"/>
  <c r="D917" i="13"/>
  <c r="E917" i="13" s="1"/>
  <c r="G916" i="13"/>
  <c r="F828" i="13"/>
  <c r="D223" i="13"/>
  <c r="G222" i="13"/>
  <c r="D572" i="13"/>
  <c r="G571" i="13"/>
  <c r="D493" i="20"/>
  <c r="D655" i="13"/>
  <c r="G654" i="13"/>
  <c r="D582" i="20"/>
  <c r="D395" i="13"/>
  <c r="G394" i="13"/>
  <c r="D760" i="20"/>
  <c r="D673" i="20"/>
  <c r="E137" i="20"/>
  <c r="F137" i="20" s="1"/>
  <c r="E226" i="20"/>
  <c r="F226" i="20" s="1"/>
  <c r="G743" i="13"/>
  <c r="E479" i="13"/>
  <c r="F479" i="13" s="1"/>
  <c r="D480" i="13" s="1"/>
  <c r="B206" i="2"/>
  <c r="E209" i="2"/>
  <c r="E744" i="13"/>
  <c r="F744" i="13" s="1"/>
  <c r="E306" i="13"/>
  <c r="F306" i="13" s="1"/>
  <c r="D307" i="13" s="1"/>
  <c r="E134" i="13"/>
  <c r="F134" i="13" s="1"/>
  <c r="D1175" i="13" l="1"/>
  <c r="G1174" i="13"/>
  <c r="E1090" i="13"/>
  <c r="F1090" i="13" s="1"/>
  <c r="D996" i="13"/>
  <c r="E996" i="13" s="1"/>
  <c r="F996" i="13" s="1"/>
  <c r="G995" i="13"/>
  <c r="E313" i="20"/>
  <c r="F313" i="20" s="1"/>
  <c r="D314" i="20" s="1"/>
  <c r="E314" i="20" s="1"/>
  <c r="F314" i="20" s="1"/>
  <c r="D315" i="20" s="1"/>
  <c r="E315" i="20" s="1"/>
  <c r="F315" i="20" s="1"/>
  <c r="D316" i="20" s="1"/>
  <c r="D138" i="20"/>
  <c r="E138" i="20" s="1"/>
  <c r="F138" i="20" s="1"/>
  <c r="F917" i="13"/>
  <c r="G479" i="13"/>
  <c r="D829" i="13"/>
  <c r="E829" i="13" s="1"/>
  <c r="G828" i="13"/>
  <c r="D135" i="13"/>
  <c r="G134" i="13"/>
  <c r="D227" i="20"/>
  <c r="D745" i="13"/>
  <c r="G744" i="13"/>
  <c r="E760" i="20"/>
  <c r="F760" i="20" s="1"/>
  <c r="E404" i="20"/>
  <c r="F404" i="20" s="1"/>
  <c r="G306" i="13"/>
  <c r="E395" i="13"/>
  <c r="F395" i="13" s="1"/>
  <c r="E493" i="20"/>
  <c r="F493" i="20" s="1"/>
  <c r="D494" i="20" s="1"/>
  <c r="E572" i="13"/>
  <c r="F572" i="13" s="1"/>
  <c r="E307" i="13"/>
  <c r="F307" i="13" s="1"/>
  <c r="D308" i="13" s="1"/>
  <c r="E655" i="13"/>
  <c r="F655" i="13" s="1"/>
  <c r="D656" i="13" s="1"/>
  <c r="E480" i="13"/>
  <c r="F480" i="13" s="1"/>
  <c r="D481" i="13" s="1"/>
  <c r="E673" i="20"/>
  <c r="F673" i="20" s="1"/>
  <c r="D674" i="20" s="1"/>
  <c r="E582" i="20"/>
  <c r="F582" i="20" s="1"/>
  <c r="B207" i="2"/>
  <c r="B208" i="2" s="1"/>
  <c r="B209" i="2" s="1"/>
  <c r="B211" i="2" s="1"/>
  <c r="E223" i="13"/>
  <c r="F223" i="13" s="1"/>
  <c r="D1091" i="13" l="1"/>
  <c r="G1090" i="13"/>
  <c r="E1175" i="13"/>
  <c r="F1175" i="13" s="1"/>
  <c r="D1176" i="13" s="1"/>
  <c r="D997" i="13"/>
  <c r="G996" i="13"/>
  <c r="E211" i="2"/>
  <c r="D139" i="20"/>
  <c r="E139" i="20" s="1"/>
  <c r="F139" i="20" s="1"/>
  <c r="D405" i="20"/>
  <c r="E405" i="20" s="1"/>
  <c r="F405" i="20" s="1"/>
  <c r="D406" i="20" s="1"/>
  <c r="D918" i="13"/>
  <c r="E918" i="13" s="1"/>
  <c r="G917" i="13"/>
  <c r="F829" i="13"/>
  <c r="D830" i="13" s="1"/>
  <c r="E830" i="13" s="1"/>
  <c r="D583" i="20"/>
  <c r="D396" i="13"/>
  <c r="G395" i="13"/>
  <c r="D224" i="13"/>
  <c r="G223" i="13"/>
  <c r="D573" i="13"/>
  <c r="G572" i="13"/>
  <c r="D761" i="20"/>
  <c r="G480" i="13"/>
  <c r="E494" i="20"/>
  <c r="F494" i="20" s="1"/>
  <c r="E745" i="13"/>
  <c r="F745" i="13" s="1"/>
  <c r="D746" i="13" s="1"/>
  <c r="E308" i="13"/>
  <c r="F308" i="13" s="1"/>
  <c r="G655" i="13"/>
  <c r="E656" i="13"/>
  <c r="F656" i="13" s="1"/>
  <c r="D657" i="13" s="1"/>
  <c r="C50" i="13"/>
  <c r="C50" i="20"/>
  <c r="B213" i="2"/>
  <c r="E37" i="2" s="1"/>
  <c r="E227" i="20"/>
  <c r="F227" i="20" s="1"/>
  <c r="E481" i="13"/>
  <c r="F481" i="13" s="1"/>
  <c r="E674" i="20"/>
  <c r="F674" i="20" s="1"/>
  <c r="E316" i="20"/>
  <c r="F316" i="20" s="1"/>
  <c r="G307" i="13"/>
  <c r="E135" i="13"/>
  <c r="F135" i="13" s="1"/>
  <c r="G1175" i="13" l="1"/>
  <c r="E1176" i="13"/>
  <c r="F1176" i="13" s="1"/>
  <c r="D1177" i="13" s="1"/>
  <c r="E1091" i="13"/>
  <c r="F1091" i="13" s="1"/>
  <c r="E997" i="13"/>
  <c r="F997" i="13" s="1"/>
  <c r="D228" i="20"/>
  <c r="E228" i="20" s="1"/>
  <c r="F228" i="20" s="1"/>
  <c r="F918" i="13"/>
  <c r="D919" i="13" s="1"/>
  <c r="E919" i="13" s="1"/>
  <c r="F830" i="13"/>
  <c r="G829" i="13"/>
  <c r="D495" i="20"/>
  <c r="D140" i="20"/>
  <c r="D317" i="20"/>
  <c r="D675" i="20"/>
  <c r="D482" i="13"/>
  <c r="G481" i="13"/>
  <c r="D309" i="13"/>
  <c r="G308" i="13"/>
  <c r="D136" i="13"/>
  <c r="G135" i="13"/>
  <c r="B215" i="2"/>
  <c r="C49" i="13"/>
  <c r="C49" i="20"/>
  <c r="E206" i="2"/>
  <c r="E746" i="13"/>
  <c r="F746" i="13" s="1"/>
  <c r="D747" i="13" s="1"/>
  <c r="E224" i="13"/>
  <c r="F224" i="13" s="1"/>
  <c r="E396" i="13"/>
  <c r="F396" i="13" s="1"/>
  <c r="E573" i="13"/>
  <c r="F573" i="13" s="1"/>
  <c r="D574" i="13" s="1"/>
  <c r="G656" i="13"/>
  <c r="E761" i="20"/>
  <c r="F761" i="20" s="1"/>
  <c r="E406" i="20"/>
  <c r="F406" i="20" s="1"/>
  <c r="E657" i="13"/>
  <c r="F657" i="13" s="1"/>
  <c r="G745" i="13"/>
  <c r="E583" i="20"/>
  <c r="F583" i="20" s="1"/>
  <c r="G1176" i="13" l="1"/>
  <c r="D1092" i="13"/>
  <c r="G1091" i="13"/>
  <c r="E1177" i="13"/>
  <c r="F1177" i="13" s="1"/>
  <c r="D998" i="13"/>
  <c r="G997" i="13"/>
  <c r="D762" i="20"/>
  <c r="E762" i="20" s="1"/>
  <c r="F762" i="20" s="1"/>
  <c r="D763" i="20" s="1"/>
  <c r="D584" i="20"/>
  <c r="E584" i="20" s="1"/>
  <c r="F919" i="13"/>
  <c r="G918" i="13"/>
  <c r="D831" i="13"/>
  <c r="E831" i="13" s="1"/>
  <c r="G830" i="13"/>
  <c r="G573" i="13"/>
  <c r="D229" i="20"/>
  <c r="D658" i="13"/>
  <c r="G657" i="13"/>
  <c r="D397" i="13"/>
  <c r="G396" i="13"/>
  <c r="D407" i="20"/>
  <c r="D225" i="13"/>
  <c r="G224" i="13"/>
  <c r="E747" i="13"/>
  <c r="F747" i="13" s="1"/>
  <c r="D317" i="2"/>
  <c r="B217" i="2"/>
  <c r="E309" i="13"/>
  <c r="F309" i="13" s="1"/>
  <c r="E317" i="20"/>
  <c r="F317" i="20" s="1"/>
  <c r="D318" i="20" s="1"/>
  <c r="G746" i="13"/>
  <c r="E482" i="13"/>
  <c r="F482" i="13" s="1"/>
  <c r="D483" i="13" s="1"/>
  <c r="E140" i="20"/>
  <c r="F140" i="20" s="1"/>
  <c r="E574" i="13"/>
  <c r="F574" i="13" s="1"/>
  <c r="E675" i="20"/>
  <c r="F675" i="20" s="1"/>
  <c r="E136" i="13"/>
  <c r="F136" i="13" s="1"/>
  <c r="E495" i="20"/>
  <c r="F495" i="20" s="1"/>
  <c r="D496" i="20" s="1"/>
  <c r="D1178" i="13" l="1"/>
  <c r="E1178" i="13" s="1"/>
  <c r="F1178" i="13" s="1"/>
  <c r="D1179" i="13" s="1"/>
  <c r="G1177" i="13"/>
  <c r="E1092" i="13"/>
  <c r="F1092" i="13" s="1"/>
  <c r="D1093" i="13" s="1"/>
  <c r="E998" i="13"/>
  <c r="F998" i="13" s="1"/>
  <c r="F584" i="20"/>
  <c r="D585" i="20" s="1"/>
  <c r="E585" i="20" s="1"/>
  <c r="F585" i="20" s="1"/>
  <c r="D141" i="20"/>
  <c r="E141" i="20" s="1"/>
  <c r="F141" i="20" s="1"/>
  <c r="D310" i="13"/>
  <c r="E310" i="13" s="1"/>
  <c r="F310" i="13" s="1"/>
  <c r="G309" i="13"/>
  <c r="D920" i="13"/>
  <c r="E920" i="13" s="1"/>
  <c r="G919" i="13"/>
  <c r="G482" i="13"/>
  <c r="F831" i="13"/>
  <c r="D575" i="13"/>
  <c r="E575" i="13" s="1"/>
  <c r="F575" i="13" s="1"/>
  <c r="G574" i="13"/>
  <c r="D137" i="13"/>
  <c r="G136" i="13"/>
  <c r="D748" i="13"/>
  <c r="G747" i="13"/>
  <c r="D676" i="20"/>
  <c r="E397" i="13"/>
  <c r="F397" i="13" s="1"/>
  <c r="E407" i="20"/>
  <c r="F407" i="20" s="1"/>
  <c r="E318" i="20"/>
  <c r="F318" i="20" s="1"/>
  <c r="E658" i="13"/>
  <c r="F658" i="13" s="1"/>
  <c r="D659" i="13" s="1"/>
  <c r="D219" i="2"/>
  <c r="B219" i="2"/>
  <c r="B221" i="2" s="1"/>
  <c r="E225" i="13"/>
  <c r="F225" i="13" s="1"/>
  <c r="E496" i="20"/>
  <c r="F496" i="20" s="1"/>
  <c r="E763" i="20"/>
  <c r="F763" i="20" s="1"/>
  <c r="E483" i="13"/>
  <c r="F483" i="13" s="1"/>
  <c r="E229" i="20"/>
  <c r="F229" i="20" s="1"/>
  <c r="G1178" i="13" l="1"/>
  <c r="G1092" i="13"/>
  <c r="E1179" i="13"/>
  <c r="F1179" i="13" s="1"/>
  <c r="D1180" i="13" s="1"/>
  <c r="E1093" i="13"/>
  <c r="F1093" i="13" s="1"/>
  <c r="D999" i="13"/>
  <c r="G998" i="13"/>
  <c r="D226" i="13"/>
  <c r="G225" i="13"/>
  <c r="D764" i="20"/>
  <c r="E764" i="20" s="1"/>
  <c r="F764" i="20" s="1"/>
  <c r="D408" i="20"/>
  <c r="E408" i="20" s="1"/>
  <c r="F408" i="20" s="1"/>
  <c r="D409" i="20" s="1"/>
  <c r="F920" i="13"/>
  <c r="D832" i="13"/>
  <c r="E832" i="13" s="1"/>
  <c r="G831" i="13"/>
  <c r="D484" i="13"/>
  <c r="G483" i="13"/>
  <c r="D497" i="20"/>
  <c r="D398" i="13"/>
  <c r="G397" i="13"/>
  <c r="D586" i="20"/>
  <c r="D319" i="20"/>
  <c r="D311" i="13"/>
  <c r="G310" i="13"/>
  <c r="D230" i="20"/>
  <c r="D142" i="20"/>
  <c r="D576" i="13"/>
  <c r="G575" i="13"/>
  <c r="E659" i="13"/>
  <c r="F659" i="13" s="1"/>
  <c r="D660" i="13" s="1"/>
  <c r="G658" i="13"/>
  <c r="E676" i="20"/>
  <c r="F676" i="20" s="1"/>
  <c r="D222" i="2"/>
  <c r="B234" i="2"/>
  <c r="E13" i="2"/>
  <c r="E748" i="13"/>
  <c r="F748" i="13" s="1"/>
  <c r="E137" i="13"/>
  <c r="F137" i="13" s="1"/>
  <c r="D138" i="13" s="1"/>
  <c r="D1094" i="13" l="1"/>
  <c r="E1094" i="13" s="1"/>
  <c r="F1094" i="13" s="1"/>
  <c r="G1093" i="13"/>
  <c r="G1179" i="13"/>
  <c r="E1180" i="13"/>
  <c r="F1180" i="13" s="1"/>
  <c r="E999" i="13"/>
  <c r="F999" i="13" s="1"/>
  <c r="E226" i="13"/>
  <c r="F226" i="13" s="1"/>
  <c r="D677" i="20"/>
  <c r="E677" i="20" s="1"/>
  <c r="F677" i="20" s="1"/>
  <c r="D921" i="13"/>
  <c r="E921" i="13" s="1"/>
  <c r="G920" i="13"/>
  <c r="F832" i="13"/>
  <c r="D749" i="13"/>
  <c r="G748" i="13"/>
  <c r="D765" i="20"/>
  <c r="E576" i="13"/>
  <c r="F576" i="13" s="1"/>
  <c r="E311" i="13"/>
  <c r="F311" i="13" s="1"/>
  <c r="E398" i="13"/>
  <c r="F398" i="13" s="1"/>
  <c r="D399" i="13" s="1"/>
  <c r="E409" i="20"/>
  <c r="F409" i="20" s="1"/>
  <c r="E586" i="20"/>
  <c r="F586" i="20" s="1"/>
  <c r="B235" i="2"/>
  <c r="B236" i="2" s="1"/>
  <c r="B237" i="2" s="1"/>
  <c r="G659" i="13"/>
  <c r="G137" i="13"/>
  <c r="E660" i="13"/>
  <c r="F660" i="13" s="1"/>
  <c r="D661" i="13" s="1"/>
  <c r="E142" i="20"/>
  <c r="F142" i="20" s="1"/>
  <c r="E319" i="20"/>
  <c r="F319" i="20" s="1"/>
  <c r="D320" i="20" s="1"/>
  <c r="E497" i="20"/>
  <c r="F497" i="20" s="1"/>
  <c r="D498" i="20" s="1"/>
  <c r="E230" i="20"/>
  <c r="F230" i="20" s="1"/>
  <c r="E138" i="13"/>
  <c r="F138" i="13" s="1"/>
  <c r="E484" i="13"/>
  <c r="F484" i="13" s="1"/>
  <c r="D1095" i="13" l="1"/>
  <c r="E1095" i="13" s="1"/>
  <c r="F1095" i="13" s="1"/>
  <c r="G1094" i="13"/>
  <c r="D1181" i="13"/>
  <c r="E1181" i="13" s="1"/>
  <c r="F1181" i="13" s="1"/>
  <c r="D1182" i="13" s="1"/>
  <c r="G1180" i="13"/>
  <c r="G999" i="13"/>
  <c r="D1000" i="13"/>
  <c r="E237" i="2"/>
  <c r="D227" i="13"/>
  <c r="E227" i="13" s="1"/>
  <c r="F227" i="13" s="1"/>
  <c r="D228" i="13" s="1"/>
  <c r="G226" i="13"/>
  <c r="D410" i="20"/>
  <c r="E410" i="20" s="1"/>
  <c r="F410" i="20" s="1"/>
  <c r="D411" i="20" s="1"/>
  <c r="D143" i="20"/>
  <c r="E143" i="20" s="1"/>
  <c r="F143" i="20" s="1"/>
  <c r="D139" i="13"/>
  <c r="E139" i="13" s="1"/>
  <c r="F139" i="13" s="1"/>
  <c r="D140" i="13" s="1"/>
  <c r="G138" i="13"/>
  <c r="D587" i="20"/>
  <c r="E587" i="20" s="1"/>
  <c r="F587" i="20" s="1"/>
  <c r="F921" i="13"/>
  <c r="D485" i="13"/>
  <c r="E485" i="13" s="1"/>
  <c r="F485" i="13" s="1"/>
  <c r="G484" i="13"/>
  <c r="D833" i="13"/>
  <c r="E833" i="13" s="1"/>
  <c r="G832" i="13"/>
  <c r="D231" i="20"/>
  <c r="D312" i="13"/>
  <c r="G311" i="13"/>
  <c r="D678" i="20"/>
  <c r="D577" i="13"/>
  <c r="G576" i="13"/>
  <c r="E399" i="13"/>
  <c r="F399" i="13" s="1"/>
  <c r="D400" i="13" s="1"/>
  <c r="G398" i="13"/>
  <c r="E498" i="20"/>
  <c r="F498" i="20" s="1"/>
  <c r="D499" i="20" s="1"/>
  <c r="G660" i="13"/>
  <c r="E765" i="20"/>
  <c r="F765" i="20" s="1"/>
  <c r="D766" i="20" s="1"/>
  <c r="E661" i="13"/>
  <c r="F661" i="13" s="1"/>
  <c r="D662" i="13" s="1"/>
  <c r="E320" i="20"/>
  <c r="F320" i="20" s="1"/>
  <c r="E239" i="2"/>
  <c r="B239" i="2"/>
  <c r="B248" i="2" s="1"/>
  <c r="B249" i="2" s="1"/>
  <c r="E68" i="2"/>
  <c r="E749" i="13"/>
  <c r="F749" i="13" s="1"/>
  <c r="D1096" i="13" l="1"/>
  <c r="E1096" i="13" s="1"/>
  <c r="F1096" i="13" s="1"/>
  <c r="D1097" i="13" s="1"/>
  <c r="G1095" i="13"/>
  <c r="G1181" i="13"/>
  <c r="E1182" i="13"/>
  <c r="F1182" i="13" s="1"/>
  <c r="E1000" i="13"/>
  <c r="F1000" i="13" s="1"/>
  <c r="G227" i="13"/>
  <c r="D588" i="20"/>
  <c r="E588" i="20" s="1"/>
  <c r="F588" i="20" s="1"/>
  <c r="D144" i="20"/>
  <c r="E144" i="20" s="1"/>
  <c r="F144" i="20" s="1"/>
  <c r="D922" i="13"/>
  <c r="E922" i="13" s="1"/>
  <c r="G921" i="13"/>
  <c r="F833" i="13"/>
  <c r="D834" i="13" s="1"/>
  <c r="E834" i="13" s="1"/>
  <c r="D486" i="13"/>
  <c r="G485" i="13"/>
  <c r="D750" i="13"/>
  <c r="G749" i="13"/>
  <c r="D321" i="20"/>
  <c r="G139" i="13"/>
  <c r="E400" i="13"/>
  <c r="F400" i="13" s="1"/>
  <c r="D401" i="13" s="1"/>
  <c r="E411" i="20"/>
  <c r="F411" i="20" s="1"/>
  <c r="E140" i="13"/>
  <c r="F140" i="13" s="1"/>
  <c r="G661" i="13"/>
  <c r="G399" i="13"/>
  <c r="E228" i="13"/>
  <c r="F228" i="13" s="1"/>
  <c r="E766" i="20"/>
  <c r="F766" i="20" s="1"/>
  <c r="E312" i="13"/>
  <c r="F312" i="13" s="1"/>
  <c r="D313" i="13" s="1"/>
  <c r="B250" i="2"/>
  <c r="B251" i="2" s="1"/>
  <c r="B253" i="2" s="1"/>
  <c r="B254" i="2" s="1"/>
  <c r="B255" i="2" s="1"/>
  <c r="B257" i="2" s="1"/>
  <c r="B260" i="2" s="1"/>
  <c r="B261" i="2" s="1"/>
  <c r="E499" i="20"/>
  <c r="F499" i="20" s="1"/>
  <c r="D500" i="20" s="1"/>
  <c r="E577" i="13"/>
  <c r="F577" i="13" s="1"/>
  <c r="E678" i="20"/>
  <c r="F678" i="20" s="1"/>
  <c r="E662" i="13"/>
  <c r="F662" i="13" s="1"/>
  <c r="E231" i="20"/>
  <c r="F231" i="20" s="1"/>
  <c r="D232" i="20" s="1"/>
  <c r="D1183" i="13" l="1"/>
  <c r="E1183" i="13" s="1"/>
  <c r="F1183" i="13" s="1"/>
  <c r="D1184" i="13" s="1"/>
  <c r="G1182" i="13"/>
  <c r="G1096" i="13"/>
  <c r="E1097" i="13"/>
  <c r="F1097" i="13" s="1"/>
  <c r="D1098" i="13" s="1"/>
  <c r="G1000" i="13"/>
  <c r="D1001" i="13"/>
  <c r="E255" i="2"/>
  <c r="F922" i="13"/>
  <c r="F834" i="13"/>
  <c r="G833" i="13"/>
  <c r="D663" i="13"/>
  <c r="E663" i="13" s="1"/>
  <c r="F663" i="13" s="1"/>
  <c r="G662" i="13"/>
  <c r="D578" i="13"/>
  <c r="E578" i="13" s="1"/>
  <c r="F578" i="13" s="1"/>
  <c r="D579" i="13" s="1"/>
  <c r="G577" i="13"/>
  <c r="D141" i="13"/>
  <c r="E141" i="13" s="1"/>
  <c r="F141" i="13" s="1"/>
  <c r="G140" i="13"/>
  <c r="D589" i="20"/>
  <c r="D679" i="20"/>
  <c r="D412" i="20"/>
  <c r="D767" i="20"/>
  <c r="D229" i="13"/>
  <c r="G228" i="13"/>
  <c r="D145" i="20"/>
  <c r="E313" i="13"/>
  <c r="F313" i="13" s="1"/>
  <c r="E232" i="20"/>
  <c r="F232" i="20" s="1"/>
  <c r="D233" i="20" s="1"/>
  <c r="G400" i="13"/>
  <c r="E321" i="20"/>
  <c r="F321" i="20" s="1"/>
  <c r="E401" i="13"/>
  <c r="F401" i="13" s="1"/>
  <c r="B262" i="2"/>
  <c r="B263" i="2" s="1"/>
  <c r="B264" i="2" s="1"/>
  <c r="E750" i="13"/>
  <c r="F750" i="13" s="1"/>
  <c r="E500" i="20"/>
  <c r="F500" i="20" s="1"/>
  <c r="G312" i="13"/>
  <c r="E486" i="13"/>
  <c r="F486" i="13" s="1"/>
  <c r="D487" i="13" s="1"/>
  <c r="G1183" i="13" l="1"/>
  <c r="G1097" i="13"/>
  <c r="E1098" i="13"/>
  <c r="F1098" i="13" s="1"/>
  <c r="E1184" i="13"/>
  <c r="F1184" i="13" s="1"/>
  <c r="D1185" i="13" s="1"/>
  <c r="E1001" i="13"/>
  <c r="F1001" i="13" s="1"/>
  <c r="D501" i="20"/>
  <c r="E501" i="20" s="1"/>
  <c r="F501" i="20" s="1"/>
  <c r="D923" i="13"/>
  <c r="E923" i="13" s="1"/>
  <c r="G922" i="13"/>
  <c r="D314" i="13"/>
  <c r="E314" i="13" s="1"/>
  <c r="F314" i="13" s="1"/>
  <c r="D315" i="13" s="1"/>
  <c r="G313" i="13"/>
  <c r="D835" i="13"/>
  <c r="E835" i="13" s="1"/>
  <c r="G834" i="13"/>
  <c r="D322" i="20"/>
  <c r="D402" i="13"/>
  <c r="G401" i="13"/>
  <c r="D751" i="13"/>
  <c r="G750" i="13"/>
  <c r="D142" i="13"/>
  <c r="G141" i="13"/>
  <c r="D664" i="13"/>
  <c r="G663" i="13"/>
  <c r="E233" i="20"/>
  <c r="F233" i="20" s="1"/>
  <c r="D234" i="20" s="1"/>
  <c r="E145" i="20"/>
  <c r="F145" i="20" s="1"/>
  <c r="D146" i="20" s="1"/>
  <c r="E412" i="20"/>
  <c r="F412" i="20" s="1"/>
  <c r="G578" i="13"/>
  <c r="E579" i="13"/>
  <c r="F579" i="13" s="1"/>
  <c r="E229" i="13"/>
  <c r="F229" i="13" s="1"/>
  <c r="E679" i="20"/>
  <c r="F679" i="20" s="1"/>
  <c r="E487" i="13"/>
  <c r="F487" i="13" s="1"/>
  <c r="B265" i="2"/>
  <c r="E767" i="20"/>
  <c r="F767" i="20" s="1"/>
  <c r="G486" i="13"/>
  <c r="E589" i="20"/>
  <c r="F589" i="20" s="1"/>
  <c r="G1184" i="13" l="1"/>
  <c r="D1099" i="13"/>
  <c r="G1098" i="13"/>
  <c r="E1185" i="13"/>
  <c r="F1185" i="13" s="1"/>
  <c r="D1186" i="13" s="1"/>
  <c r="D1002" i="13"/>
  <c r="G1001" i="13"/>
  <c r="D230" i="13"/>
  <c r="E230" i="13" s="1"/>
  <c r="F230" i="13" s="1"/>
  <c r="D231" i="13" s="1"/>
  <c r="G229" i="13"/>
  <c r="D590" i="20"/>
  <c r="E590" i="20" s="1"/>
  <c r="F590" i="20" s="1"/>
  <c r="D502" i="20"/>
  <c r="E502" i="20" s="1"/>
  <c r="F502" i="20" s="1"/>
  <c r="D413" i="20"/>
  <c r="E413" i="20" s="1"/>
  <c r="F413" i="20" s="1"/>
  <c r="F923" i="13"/>
  <c r="D924" i="13" s="1"/>
  <c r="E924" i="13" s="1"/>
  <c r="D488" i="13"/>
  <c r="E488" i="13" s="1"/>
  <c r="F488" i="13" s="1"/>
  <c r="D489" i="13" s="1"/>
  <c r="G487" i="13"/>
  <c r="F835" i="13"/>
  <c r="D768" i="20"/>
  <c r="D680" i="20"/>
  <c r="D580" i="13"/>
  <c r="G579" i="13"/>
  <c r="E142" i="13"/>
  <c r="F142" i="13" s="1"/>
  <c r="B266" i="2"/>
  <c r="D272" i="2"/>
  <c r="E751" i="13"/>
  <c r="F751" i="13" s="1"/>
  <c r="D752" i="13" s="1"/>
  <c r="E315" i="13"/>
  <c r="F315" i="13" s="1"/>
  <c r="E234" i="20"/>
  <c r="F234" i="20" s="1"/>
  <c r="D235" i="20" s="1"/>
  <c r="E402" i="13"/>
  <c r="F402" i="13" s="1"/>
  <c r="D403" i="13" s="1"/>
  <c r="G314" i="13"/>
  <c r="E664" i="13"/>
  <c r="F664" i="13" s="1"/>
  <c r="D665" i="13" s="1"/>
  <c r="E146" i="20"/>
  <c r="F146" i="20" s="1"/>
  <c r="E322" i="20"/>
  <c r="F322" i="20" s="1"/>
  <c r="G1185" i="13" l="1"/>
  <c r="E1186" i="13"/>
  <c r="F1186" i="13" s="1"/>
  <c r="D1187" i="13" s="1"/>
  <c r="E1099" i="13"/>
  <c r="F1099" i="13" s="1"/>
  <c r="D1100" i="13" s="1"/>
  <c r="E1002" i="13"/>
  <c r="F1002" i="13" s="1"/>
  <c r="D323" i="20"/>
  <c r="E323" i="20" s="1"/>
  <c r="F323" i="20" s="1"/>
  <c r="D591" i="20"/>
  <c r="E591" i="20" s="1"/>
  <c r="F591" i="20" s="1"/>
  <c r="D147" i="20"/>
  <c r="E147" i="20" s="1"/>
  <c r="F147" i="20" s="1"/>
  <c r="F924" i="13"/>
  <c r="G923" i="13"/>
  <c r="D836" i="13"/>
  <c r="E836" i="13" s="1"/>
  <c r="G835" i="13"/>
  <c r="G751" i="13"/>
  <c r="G402" i="13"/>
  <c r="D143" i="13"/>
  <c r="G142" i="13"/>
  <c r="D316" i="13"/>
  <c r="G315" i="13"/>
  <c r="D414" i="20"/>
  <c r="D503" i="20"/>
  <c r="E580" i="13"/>
  <c r="F580" i="13" s="1"/>
  <c r="G488" i="13"/>
  <c r="E752" i="13"/>
  <c r="F752" i="13" s="1"/>
  <c r="D753" i="13" s="1"/>
  <c r="E489" i="13"/>
  <c r="F489" i="13" s="1"/>
  <c r="E665" i="13"/>
  <c r="F665" i="13" s="1"/>
  <c r="D666" i="13" s="1"/>
  <c r="E403" i="13"/>
  <c r="F403" i="13" s="1"/>
  <c r="E231" i="13"/>
  <c r="F231" i="13" s="1"/>
  <c r="G230" i="13"/>
  <c r="E680" i="20"/>
  <c r="F680" i="20" s="1"/>
  <c r="B267" i="2"/>
  <c r="B268" i="2" s="1"/>
  <c r="E235" i="20"/>
  <c r="F235" i="20" s="1"/>
  <c r="G664" i="13"/>
  <c r="E768" i="20"/>
  <c r="F768" i="20" s="1"/>
  <c r="G1099" i="13" l="1"/>
  <c r="E1100" i="13"/>
  <c r="F1100" i="13" s="1"/>
  <c r="G1186" i="13"/>
  <c r="E1187" i="13"/>
  <c r="F1187" i="13" s="1"/>
  <c r="D1188" i="13" s="1"/>
  <c r="D1003" i="13"/>
  <c r="G1002" i="13"/>
  <c r="E268" i="2"/>
  <c r="G752" i="13"/>
  <c r="D232" i="13"/>
  <c r="E232" i="13" s="1"/>
  <c r="F232" i="13" s="1"/>
  <c r="G231" i="13"/>
  <c r="D592" i="20"/>
  <c r="E592" i="20" s="1"/>
  <c r="F592" i="20" s="1"/>
  <c r="D681" i="20"/>
  <c r="E681" i="20" s="1"/>
  <c r="F681" i="20" s="1"/>
  <c r="D682" i="20" s="1"/>
  <c r="D148" i="20"/>
  <c r="E148" i="20" s="1"/>
  <c r="F148" i="20" s="1"/>
  <c r="D925" i="13"/>
  <c r="E925" i="13" s="1"/>
  <c r="F925" i="13" s="1"/>
  <c r="G924" i="13"/>
  <c r="F836" i="13"/>
  <c r="D490" i="13"/>
  <c r="G489" i="13"/>
  <c r="D236" i="20"/>
  <c r="D581" i="13"/>
  <c r="G580" i="13"/>
  <c r="D404" i="13"/>
  <c r="G403" i="13"/>
  <c r="D324" i="20"/>
  <c r="D769" i="20"/>
  <c r="B270" i="2"/>
  <c r="B271" i="2" s="1"/>
  <c r="D273" i="2"/>
  <c r="E753" i="13"/>
  <c r="F753" i="13" s="1"/>
  <c r="D754" i="13" s="1"/>
  <c r="E414" i="20"/>
  <c r="F414" i="20" s="1"/>
  <c r="E503" i="20"/>
  <c r="F503" i="20" s="1"/>
  <c r="D504" i="20" s="1"/>
  <c r="E316" i="13"/>
  <c r="F316" i="13" s="1"/>
  <c r="E666" i="13"/>
  <c r="F666" i="13" s="1"/>
  <c r="D667" i="13" s="1"/>
  <c r="G665" i="13"/>
  <c r="E143" i="13"/>
  <c r="F143" i="13" s="1"/>
  <c r="D144" i="13" s="1"/>
  <c r="G1187" i="13" l="1"/>
  <c r="D1101" i="13"/>
  <c r="E1101" i="13" s="1"/>
  <c r="F1101" i="13" s="1"/>
  <c r="D1102" i="13" s="1"/>
  <c r="G1100" i="13"/>
  <c r="E1188" i="13"/>
  <c r="F1188" i="13" s="1"/>
  <c r="E1003" i="13"/>
  <c r="F1003" i="13" s="1"/>
  <c r="D926" i="13"/>
  <c r="E926" i="13" s="1"/>
  <c r="G925" i="13"/>
  <c r="D317" i="13"/>
  <c r="E317" i="13" s="1"/>
  <c r="F317" i="13" s="1"/>
  <c r="G316" i="13"/>
  <c r="D837" i="13"/>
  <c r="E837" i="13" s="1"/>
  <c r="G836" i="13"/>
  <c r="D593" i="20"/>
  <c r="D233" i="13"/>
  <c r="G232" i="13"/>
  <c r="D415" i="20"/>
  <c r="D149" i="20"/>
  <c r="E682" i="20"/>
  <c r="F682" i="20" s="1"/>
  <c r="D683" i="20" s="1"/>
  <c r="E667" i="13"/>
  <c r="F667" i="13" s="1"/>
  <c r="E404" i="13"/>
  <c r="F404" i="13" s="1"/>
  <c r="E504" i="20"/>
  <c r="F504" i="20" s="1"/>
  <c r="D505" i="20" s="1"/>
  <c r="E581" i="13"/>
  <c r="F581" i="13" s="1"/>
  <c r="D582" i="13" s="1"/>
  <c r="E769" i="20"/>
  <c r="F769" i="20" s="1"/>
  <c r="E144" i="13"/>
  <c r="F144" i="13" s="1"/>
  <c r="D145" i="13" s="1"/>
  <c r="D375" i="2"/>
  <c r="B272" i="2"/>
  <c r="B273" i="2" s="1"/>
  <c r="C19" i="20" s="1"/>
  <c r="E236" i="20"/>
  <c r="F236" i="20" s="1"/>
  <c r="E324" i="20"/>
  <c r="F324" i="20" s="1"/>
  <c r="E754" i="13"/>
  <c r="F754" i="13" s="1"/>
  <c r="G143" i="13"/>
  <c r="G666" i="13"/>
  <c r="G753" i="13"/>
  <c r="E490" i="13"/>
  <c r="F490" i="13" s="1"/>
  <c r="G1101" i="13" l="1"/>
  <c r="D1189" i="13"/>
  <c r="G1188" i="13"/>
  <c r="E1102" i="13"/>
  <c r="F1102" i="13" s="1"/>
  <c r="D1004" i="13"/>
  <c r="E1004" i="13" s="1"/>
  <c r="F1004" i="13" s="1"/>
  <c r="G1003" i="13"/>
  <c r="D274" i="2"/>
  <c r="C19" i="13"/>
  <c r="D770" i="20"/>
  <c r="E770" i="20" s="1"/>
  <c r="F770" i="20" s="1"/>
  <c r="D771" i="20" s="1"/>
  <c r="D325" i="20"/>
  <c r="E325" i="20" s="1"/>
  <c r="D405" i="13"/>
  <c r="E405" i="13" s="1"/>
  <c r="F405" i="13" s="1"/>
  <c r="G404" i="13"/>
  <c r="F926" i="13"/>
  <c r="F837" i="13"/>
  <c r="D838" i="13" s="1"/>
  <c r="E838" i="13" s="1"/>
  <c r="G581" i="13"/>
  <c r="G144" i="13"/>
  <c r="D237" i="20"/>
  <c r="D491" i="13"/>
  <c r="G490" i="13"/>
  <c r="D318" i="13"/>
  <c r="G317" i="13"/>
  <c r="D668" i="13"/>
  <c r="G667" i="13"/>
  <c r="D755" i="13"/>
  <c r="G754" i="13"/>
  <c r="E582" i="13"/>
  <c r="F582" i="13" s="1"/>
  <c r="E415" i="20"/>
  <c r="F415" i="20" s="1"/>
  <c r="E683" i="20"/>
  <c r="F683" i="20" s="1"/>
  <c r="E233" i="13"/>
  <c r="F233" i="13" s="1"/>
  <c r="E505" i="20"/>
  <c r="F505" i="20" s="1"/>
  <c r="D506" i="20" s="1"/>
  <c r="C16" i="20"/>
  <c r="C16" i="13"/>
  <c r="B274" i="2"/>
  <c r="E145" i="13"/>
  <c r="F145" i="13" s="1"/>
  <c r="E149" i="20"/>
  <c r="F149" i="20" s="1"/>
  <c r="E593" i="20"/>
  <c r="F593" i="20" s="1"/>
  <c r="D1103" i="13" l="1"/>
  <c r="G1102" i="13"/>
  <c r="E1189" i="13"/>
  <c r="F1189" i="13" s="1"/>
  <c r="D1005" i="13"/>
  <c r="G1004" i="13"/>
  <c r="F325" i="20"/>
  <c r="D326" i="20" s="1"/>
  <c r="E326" i="20" s="1"/>
  <c r="F326" i="20" s="1"/>
  <c r="D327" i="20" s="1"/>
  <c r="D684" i="20"/>
  <c r="E684" i="20" s="1"/>
  <c r="F684" i="20" s="1"/>
  <c r="D583" i="13"/>
  <c r="E583" i="13" s="1"/>
  <c r="F583" i="13" s="1"/>
  <c r="G582" i="13"/>
  <c r="D927" i="13"/>
  <c r="E927" i="13" s="1"/>
  <c r="G926" i="13"/>
  <c r="F838" i="13"/>
  <c r="G837" i="13"/>
  <c r="D234" i="13"/>
  <c r="G233" i="13"/>
  <c r="D416" i="20"/>
  <c r="D150" i="20"/>
  <c r="D146" i="13"/>
  <c r="G145" i="13"/>
  <c r="D594" i="20"/>
  <c r="D406" i="13"/>
  <c r="G405" i="13"/>
  <c r="E318" i="13"/>
  <c r="F318" i="13" s="1"/>
  <c r="E771" i="20"/>
  <c r="F771" i="20" s="1"/>
  <c r="B276" i="2"/>
  <c r="B77" i="41"/>
  <c r="E213" i="2"/>
  <c r="D199" i="2"/>
  <c r="E491" i="13"/>
  <c r="F491" i="13" s="1"/>
  <c r="E755" i="13"/>
  <c r="F755" i="13" s="1"/>
  <c r="D756" i="13" s="1"/>
  <c r="E668" i="13"/>
  <c r="F668" i="13" s="1"/>
  <c r="D669" i="13" s="1"/>
  <c r="E506" i="20"/>
  <c r="F506" i="20" s="1"/>
  <c r="E237" i="20"/>
  <c r="F237" i="20" s="1"/>
  <c r="D1190" i="13" l="1"/>
  <c r="G1189" i="13"/>
  <c r="E1103" i="13"/>
  <c r="F1103" i="13" s="1"/>
  <c r="E1005" i="13"/>
  <c r="F1005" i="13" s="1"/>
  <c r="D685" i="20"/>
  <c r="E685" i="20" s="1"/>
  <c r="F685" i="20" s="1"/>
  <c r="D238" i="20"/>
  <c r="E238" i="20" s="1"/>
  <c r="F238" i="20" s="1"/>
  <c r="D507" i="20"/>
  <c r="E507" i="20" s="1"/>
  <c r="F927" i="13"/>
  <c r="D928" i="13" s="1"/>
  <c r="E928" i="13" s="1"/>
  <c r="D492" i="13"/>
  <c r="E492" i="13" s="1"/>
  <c r="F492" i="13" s="1"/>
  <c r="G491" i="13"/>
  <c r="D839" i="13"/>
  <c r="E839" i="13" s="1"/>
  <c r="G838" i="13"/>
  <c r="D319" i="13"/>
  <c r="G318" i="13"/>
  <c r="D772" i="20"/>
  <c r="D584" i="13"/>
  <c r="G583" i="13"/>
  <c r="E406" i="13"/>
  <c r="F406" i="13" s="1"/>
  <c r="E150" i="20"/>
  <c r="F150" i="20" s="1"/>
  <c r="E669" i="13"/>
  <c r="F669" i="13" s="1"/>
  <c r="E327" i="20"/>
  <c r="F327" i="20" s="1"/>
  <c r="E756" i="13"/>
  <c r="F756" i="13" s="1"/>
  <c r="D757" i="13" s="1"/>
  <c r="E594" i="20"/>
  <c r="F594" i="20" s="1"/>
  <c r="E416" i="20"/>
  <c r="F416" i="20" s="1"/>
  <c r="G668" i="13"/>
  <c r="G755" i="13"/>
  <c r="E146" i="13"/>
  <c r="F146" i="13" s="1"/>
  <c r="D147" i="13" s="1"/>
  <c r="E234" i="13"/>
  <c r="F234" i="13" s="1"/>
  <c r="D1104" i="13" l="1"/>
  <c r="E1104" i="13" s="1"/>
  <c r="F1104" i="13" s="1"/>
  <c r="G1103" i="13"/>
  <c r="E1190" i="13"/>
  <c r="F1190" i="13" s="1"/>
  <c r="D1191" i="13" s="1"/>
  <c r="D1006" i="13"/>
  <c r="G1005" i="13"/>
  <c r="D328" i="20"/>
  <c r="E328" i="20" s="1"/>
  <c r="F328" i="20" s="1"/>
  <c r="D329" i="20" s="1"/>
  <c r="F507" i="20"/>
  <c r="D151" i="20"/>
  <c r="E151" i="20" s="1"/>
  <c r="F151" i="20" s="1"/>
  <c r="D239" i="20"/>
  <c r="E239" i="20" s="1"/>
  <c r="F239" i="20" s="1"/>
  <c r="D240" i="20" s="1"/>
  <c r="F928" i="13"/>
  <c r="G927" i="13"/>
  <c r="F839" i="13"/>
  <c r="D407" i="13"/>
  <c r="E407" i="13" s="1"/>
  <c r="F407" i="13" s="1"/>
  <c r="D408" i="13" s="1"/>
  <c r="G406" i="13"/>
  <c r="D595" i="20"/>
  <c r="D417" i="20"/>
  <c r="D686" i="20"/>
  <c r="D493" i="13"/>
  <c r="G492" i="13"/>
  <c r="D235" i="13"/>
  <c r="G234" i="13"/>
  <c r="D670" i="13"/>
  <c r="G669" i="13"/>
  <c r="G146" i="13"/>
  <c r="E584" i="13"/>
  <c r="F584" i="13" s="1"/>
  <c r="D585" i="13" s="1"/>
  <c r="E772" i="20"/>
  <c r="F772" i="20" s="1"/>
  <c r="E757" i="13"/>
  <c r="F757" i="13" s="1"/>
  <c r="E147" i="13"/>
  <c r="F147" i="13" s="1"/>
  <c r="D148" i="13" s="1"/>
  <c r="G756" i="13"/>
  <c r="E319" i="13"/>
  <c r="F319" i="13" s="1"/>
  <c r="G1190" i="13" l="1"/>
  <c r="D1105" i="13"/>
  <c r="E1105" i="13" s="1"/>
  <c r="F1105" i="13" s="1"/>
  <c r="D1106" i="13" s="1"/>
  <c r="G1104" i="13"/>
  <c r="E1191" i="13"/>
  <c r="F1191" i="13" s="1"/>
  <c r="E1006" i="13"/>
  <c r="F1006" i="13" s="1"/>
  <c r="D508" i="20"/>
  <c r="E508" i="20" s="1"/>
  <c r="F508" i="20" s="1"/>
  <c r="D509" i="20" s="1"/>
  <c r="G407" i="13"/>
  <c r="D929" i="13"/>
  <c r="E929" i="13" s="1"/>
  <c r="G928" i="13"/>
  <c r="D840" i="13"/>
  <c r="E840" i="13" s="1"/>
  <c r="G839" i="13"/>
  <c r="D320" i="13"/>
  <c r="G319" i="13"/>
  <c r="D152" i="20"/>
  <c r="D773" i="20"/>
  <c r="D758" i="13"/>
  <c r="G757" i="13"/>
  <c r="E240" i="20"/>
  <c r="F240" i="20" s="1"/>
  <c r="E686" i="20"/>
  <c r="F686" i="20" s="1"/>
  <c r="G584" i="13"/>
  <c r="E670" i="13"/>
  <c r="F670" i="13" s="1"/>
  <c r="D671" i="13" s="1"/>
  <c r="E329" i="20"/>
  <c r="F329" i="20" s="1"/>
  <c r="D330" i="20" s="1"/>
  <c r="G147" i="13"/>
  <c r="E235" i="13"/>
  <c r="F235" i="13" s="1"/>
  <c r="E417" i="20"/>
  <c r="F417" i="20" s="1"/>
  <c r="E148" i="13"/>
  <c r="F148" i="13" s="1"/>
  <c r="D149" i="13" s="1"/>
  <c r="E408" i="13"/>
  <c r="F408" i="13" s="1"/>
  <c r="D409" i="13" s="1"/>
  <c r="E493" i="13"/>
  <c r="F493" i="13" s="1"/>
  <c r="D494" i="13" s="1"/>
  <c r="E585" i="13"/>
  <c r="F585" i="13" s="1"/>
  <c r="E595" i="20"/>
  <c r="F595" i="20" s="1"/>
  <c r="D1192" i="13" l="1"/>
  <c r="E1192" i="13" s="1"/>
  <c r="F1192" i="13" s="1"/>
  <c r="G1191" i="13"/>
  <c r="G1105" i="13"/>
  <c r="E1106" i="13"/>
  <c r="F1106" i="13" s="1"/>
  <c r="G1006" i="13"/>
  <c r="D1007" i="13"/>
  <c r="D596" i="20"/>
  <c r="E596" i="20" s="1"/>
  <c r="F596" i="20" s="1"/>
  <c r="D687" i="20"/>
  <c r="E687" i="20" s="1"/>
  <c r="F687" i="20" s="1"/>
  <c r="F929" i="13"/>
  <c r="F840" i="13"/>
  <c r="D241" i="20"/>
  <c r="D418" i="20"/>
  <c r="D236" i="13"/>
  <c r="G235" i="13"/>
  <c r="D586" i="13"/>
  <c r="G585" i="13"/>
  <c r="E409" i="13"/>
  <c r="F409" i="13" s="1"/>
  <c r="E773" i="20"/>
  <c r="F773" i="20" s="1"/>
  <c r="D774" i="20" s="1"/>
  <c r="E149" i="13"/>
  <c r="F149" i="13" s="1"/>
  <c r="D150" i="13" s="1"/>
  <c r="E330" i="20"/>
  <c r="F330" i="20" s="1"/>
  <c r="D331" i="20" s="1"/>
  <c r="G493" i="13"/>
  <c r="E758" i="13"/>
  <c r="F758" i="13" s="1"/>
  <c r="G148" i="13"/>
  <c r="E671" i="13"/>
  <c r="F671" i="13" s="1"/>
  <c r="E152" i="20"/>
  <c r="F152" i="20" s="1"/>
  <c r="E494" i="13"/>
  <c r="F494" i="13" s="1"/>
  <c r="G408" i="13"/>
  <c r="G670" i="13"/>
  <c r="E509" i="20"/>
  <c r="F509" i="20" s="1"/>
  <c r="E320" i="13"/>
  <c r="F320" i="13" s="1"/>
  <c r="D1193" i="13" l="1"/>
  <c r="E1193" i="13" s="1"/>
  <c r="F1193" i="13" s="1"/>
  <c r="G1192" i="13"/>
  <c r="D1107" i="13"/>
  <c r="G1106" i="13"/>
  <c r="E1007" i="13"/>
  <c r="F1007" i="13" s="1"/>
  <c r="D688" i="20"/>
  <c r="E688" i="20" s="1"/>
  <c r="F688" i="20" s="1"/>
  <c r="D597" i="20"/>
  <c r="E597" i="20" s="1"/>
  <c r="F597" i="20" s="1"/>
  <c r="D930" i="13"/>
  <c r="E930" i="13" s="1"/>
  <c r="G929" i="13"/>
  <c r="D841" i="13"/>
  <c r="E841" i="13" s="1"/>
  <c r="G840" i="13"/>
  <c r="D759" i="13"/>
  <c r="E759" i="13" s="1"/>
  <c r="F759" i="13" s="1"/>
  <c r="D760" i="13" s="1"/>
  <c r="G758" i="13"/>
  <c r="D495" i="13"/>
  <c r="G494" i="13"/>
  <c r="D410" i="13"/>
  <c r="G409" i="13"/>
  <c r="D672" i="13"/>
  <c r="G671" i="13"/>
  <c r="D321" i="13"/>
  <c r="G320" i="13"/>
  <c r="D510" i="20"/>
  <c r="D153" i="20"/>
  <c r="E236" i="13"/>
  <c r="F236" i="13" s="1"/>
  <c r="D237" i="13" s="1"/>
  <c r="G149" i="13"/>
  <c r="E418" i="20"/>
  <c r="F418" i="20" s="1"/>
  <c r="E150" i="13"/>
  <c r="F150" i="13" s="1"/>
  <c r="D151" i="13" s="1"/>
  <c r="E774" i="20"/>
  <c r="F774" i="20" s="1"/>
  <c r="E331" i="20"/>
  <c r="F331" i="20" s="1"/>
  <c r="E586" i="13"/>
  <c r="F586" i="13" s="1"/>
  <c r="E241" i="20"/>
  <c r="F241" i="20" s="1"/>
  <c r="D242" i="20" s="1"/>
  <c r="D1194" i="13" l="1"/>
  <c r="E1194" i="13" s="1"/>
  <c r="G1193" i="13"/>
  <c r="E1107" i="13"/>
  <c r="F1107" i="13" s="1"/>
  <c r="D1108" i="13" s="1"/>
  <c r="D1008" i="13"/>
  <c r="G1007" i="13"/>
  <c r="D332" i="20"/>
  <c r="E332" i="20" s="1"/>
  <c r="F332" i="20" s="1"/>
  <c r="D689" i="20"/>
  <c r="E689" i="20" s="1"/>
  <c r="F689" i="20" s="1"/>
  <c r="D587" i="13"/>
  <c r="E587" i="13" s="1"/>
  <c r="F587" i="13" s="1"/>
  <c r="G586" i="13"/>
  <c r="F930" i="13"/>
  <c r="F841" i="13"/>
  <c r="D598" i="20"/>
  <c r="D775" i="20"/>
  <c r="D419" i="20"/>
  <c r="E321" i="13"/>
  <c r="F321" i="13" s="1"/>
  <c r="D322" i="13" s="1"/>
  <c r="E760" i="13"/>
  <c r="F760" i="13" s="1"/>
  <c r="E237" i="13"/>
  <c r="F237" i="13" s="1"/>
  <c r="D238" i="13" s="1"/>
  <c r="E672" i="13"/>
  <c r="F672" i="13" s="1"/>
  <c r="D673" i="13" s="1"/>
  <c r="G236" i="13"/>
  <c r="E153" i="20"/>
  <c r="F153" i="20" s="1"/>
  <c r="E410" i="13"/>
  <c r="F410" i="13" s="1"/>
  <c r="D411" i="13" s="1"/>
  <c r="E151" i="13"/>
  <c r="F151" i="13" s="1"/>
  <c r="D152" i="13" s="1"/>
  <c r="E242" i="20"/>
  <c r="F242" i="20" s="1"/>
  <c r="D243" i="20" s="1"/>
  <c r="G759" i="13"/>
  <c r="G150" i="13"/>
  <c r="E510" i="20"/>
  <c r="F510" i="20" s="1"/>
  <c r="E495" i="13"/>
  <c r="F495" i="13" s="1"/>
  <c r="F1194" i="13" l="1"/>
  <c r="D1195" i="13" s="1"/>
  <c r="E1195" i="13" s="1"/>
  <c r="F1195" i="13" s="1"/>
  <c r="G1107" i="13"/>
  <c r="E1108" i="13"/>
  <c r="F1108" i="13" s="1"/>
  <c r="D1109" i="13" s="1"/>
  <c r="E1008" i="13"/>
  <c r="F1008" i="13" s="1"/>
  <c r="D154" i="20"/>
  <c r="E154" i="20" s="1"/>
  <c r="F154" i="20" s="1"/>
  <c r="D155" i="20" s="1"/>
  <c r="D931" i="13"/>
  <c r="E931" i="13" s="1"/>
  <c r="G930" i="13"/>
  <c r="D588" i="13"/>
  <c r="E588" i="13" s="1"/>
  <c r="F588" i="13" s="1"/>
  <c r="D589" i="13" s="1"/>
  <c r="G587" i="13"/>
  <c r="G237" i="13"/>
  <c r="G321" i="13"/>
  <c r="D842" i="13"/>
  <c r="E842" i="13" s="1"/>
  <c r="G841" i="13"/>
  <c r="D333" i="20"/>
  <c r="D761" i="13"/>
  <c r="G760" i="13"/>
  <c r="D496" i="13"/>
  <c r="G495" i="13"/>
  <c r="D511" i="20"/>
  <c r="D690" i="20"/>
  <c r="E243" i="20"/>
  <c r="F243" i="20" s="1"/>
  <c r="E238" i="13"/>
  <c r="F238" i="13" s="1"/>
  <c r="E419" i="20"/>
  <c r="F419" i="20" s="1"/>
  <c r="E152" i="13"/>
  <c r="F152" i="13" s="1"/>
  <c r="E322" i="13"/>
  <c r="F322" i="13" s="1"/>
  <c r="D323" i="13" s="1"/>
  <c r="E775" i="20"/>
  <c r="F775" i="20" s="1"/>
  <c r="E673" i="13"/>
  <c r="F673" i="13" s="1"/>
  <c r="D674" i="13" s="1"/>
  <c r="E411" i="13"/>
  <c r="F411" i="13" s="1"/>
  <c r="D412" i="13" s="1"/>
  <c r="G672" i="13"/>
  <c r="G151" i="13"/>
  <c r="G410" i="13"/>
  <c r="E598" i="20"/>
  <c r="F598" i="20" s="1"/>
  <c r="G1194" i="13" l="1"/>
  <c r="D1196" i="13"/>
  <c r="E1196" i="13" s="1"/>
  <c r="F1196" i="13" s="1"/>
  <c r="D1197" i="13" s="1"/>
  <c r="G1195" i="13"/>
  <c r="G1108" i="13"/>
  <c r="E1109" i="13"/>
  <c r="F1109" i="13" s="1"/>
  <c r="D1009" i="13"/>
  <c r="G1008" i="13"/>
  <c r="D239" i="13"/>
  <c r="E239" i="13" s="1"/>
  <c r="F239" i="13" s="1"/>
  <c r="D240" i="13" s="1"/>
  <c r="G238" i="13"/>
  <c r="D244" i="20"/>
  <c r="D776" i="20"/>
  <c r="E776" i="20" s="1"/>
  <c r="F776" i="20" s="1"/>
  <c r="D777" i="20" s="1"/>
  <c r="F931" i="13"/>
  <c r="D932" i="13" s="1"/>
  <c r="E932" i="13" s="1"/>
  <c r="F842" i="13"/>
  <c r="D153" i="13"/>
  <c r="E153" i="13" s="1"/>
  <c r="F153" i="13" s="1"/>
  <c r="G152" i="13"/>
  <c r="D420" i="20"/>
  <c r="D599" i="20"/>
  <c r="G411" i="13"/>
  <c r="E496" i="13"/>
  <c r="F496" i="13" s="1"/>
  <c r="D497" i="13" s="1"/>
  <c r="G322" i="13"/>
  <c r="E761" i="13"/>
  <c r="F761" i="13" s="1"/>
  <c r="D762" i="13" s="1"/>
  <c r="E511" i="20"/>
  <c r="F511" i="20" s="1"/>
  <c r="E674" i="13"/>
  <c r="F674" i="13" s="1"/>
  <c r="D675" i="13" s="1"/>
  <c r="E155" i="20"/>
  <c r="F155" i="20" s="1"/>
  <c r="D156" i="20" s="1"/>
  <c r="E690" i="20"/>
  <c r="F690" i="20" s="1"/>
  <c r="E412" i="13"/>
  <c r="F412" i="13" s="1"/>
  <c r="E589" i="13"/>
  <c r="F589" i="13" s="1"/>
  <c r="D590" i="13" s="1"/>
  <c r="E323" i="13"/>
  <c r="F323" i="13" s="1"/>
  <c r="D324" i="13" s="1"/>
  <c r="G588" i="13"/>
  <c r="G673" i="13"/>
  <c r="E333" i="20"/>
  <c r="F333" i="20" s="1"/>
  <c r="D1110" i="13" l="1"/>
  <c r="E1110" i="13" s="1"/>
  <c r="F1110" i="13" s="1"/>
  <c r="G1109" i="13"/>
  <c r="G1196" i="13"/>
  <c r="E1197" i="13"/>
  <c r="F1197" i="13" s="1"/>
  <c r="E1009" i="13"/>
  <c r="F1009" i="13" s="1"/>
  <c r="E244" i="20"/>
  <c r="F244" i="20" s="1"/>
  <c r="D245" i="20" s="1"/>
  <c r="E245" i="20" s="1"/>
  <c r="F245" i="20" s="1"/>
  <c r="D334" i="20"/>
  <c r="E334" i="20" s="1"/>
  <c r="F334" i="20" s="1"/>
  <c r="D691" i="20"/>
  <c r="E691" i="20" s="1"/>
  <c r="F691" i="20" s="1"/>
  <c r="G323" i="13"/>
  <c r="F932" i="13"/>
  <c r="D933" i="13" s="1"/>
  <c r="E933" i="13" s="1"/>
  <c r="G931" i="13"/>
  <c r="D843" i="13"/>
  <c r="E843" i="13" s="1"/>
  <c r="G842" i="13"/>
  <c r="D413" i="13"/>
  <c r="E413" i="13" s="1"/>
  <c r="F413" i="13" s="1"/>
  <c r="G412" i="13"/>
  <c r="D512" i="20"/>
  <c r="D154" i="13"/>
  <c r="G153" i="13"/>
  <c r="E497" i="13"/>
  <c r="F497" i="13" s="1"/>
  <c r="E777" i="20"/>
  <c r="F777" i="20" s="1"/>
  <c r="D778" i="20" s="1"/>
  <c r="G496" i="13"/>
  <c r="E156" i="20"/>
  <c r="F156" i="20" s="1"/>
  <c r="E675" i="13"/>
  <c r="F675" i="13" s="1"/>
  <c r="G674" i="13"/>
  <c r="E599" i="20"/>
  <c r="F599" i="20" s="1"/>
  <c r="E240" i="13"/>
  <c r="F240" i="13" s="1"/>
  <c r="E324" i="13"/>
  <c r="F324" i="13" s="1"/>
  <c r="E590" i="13"/>
  <c r="F590" i="13" s="1"/>
  <c r="G761" i="13"/>
  <c r="E762" i="13"/>
  <c r="F762" i="13" s="1"/>
  <c r="D763" i="13" s="1"/>
  <c r="G589" i="13"/>
  <c r="G239" i="13"/>
  <c r="E420" i="20"/>
  <c r="F420" i="20" s="1"/>
  <c r="D1198" i="13" l="1"/>
  <c r="E1198" i="13" s="1"/>
  <c r="F1198" i="13" s="1"/>
  <c r="D1199" i="13" s="1"/>
  <c r="G1197" i="13"/>
  <c r="D1111" i="13"/>
  <c r="G1110" i="13"/>
  <c r="G1009" i="13"/>
  <c r="D1010" i="13"/>
  <c r="D600" i="20"/>
  <c r="E600" i="20" s="1"/>
  <c r="F600" i="20" s="1"/>
  <c r="G932" i="13"/>
  <c r="F933" i="13"/>
  <c r="D498" i="13"/>
  <c r="E498" i="13" s="1"/>
  <c r="F498" i="13" s="1"/>
  <c r="G497" i="13"/>
  <c r="F843" i="13"/>
  <c r="D325" i="13"/>
  <c r="G324" i="13"/>
  <c r="D157" i="20"/>
  <c r="D241" i="13"/>
  <c r="G240" i="13"/>
  <c r="D414" i="13"/>
  <c r="G413" i="13"/>
  <c r="D591" i="13"/>
  <c r="G590" i="13"/>
  <c r="D421" i="20"/>
  <c r="D246" i="20"/>
  <c r="D692" i="20"/>
  <c r="D335" i="20"/>
  <c r="D676" i="13"/>
  <c r="G675" i="13"/>
  <c r="E154" i="13"/>
  <c r="F154" i="13" s="1"/>
  <c r="E763" i="13"/>
  <c r="F763" i="13" s="1"/>
  <c r="E778" i="20"/>
  <c r="F778" i="20" s="1"/>
  <c r="G762" i="13"/>
  <c r="E512" i="20"/>
  <c r="F512" i="20" s="1"/>
  <c r="G1198" i="13" l="1"/>
  <c r="E1199" i="13"/>
  <c r="F1199" i="13" s="1"/>
  <c r="D1200" i="13" s="1"/>
  <c r="E1111" i="13"/>
  <c r="F1111" i="13" s="1"/>
  <c r="E1010" i="13"/>
  <c r="F1010" i="13" s="1"/>
  <c r="D513" i="20"/>
  <c r="E513" i="20" s="1"/>
  <c r="F513" i="20" s="1"/>
  <c r="D601" i="20"/>
  <c r="E601" i="20" s="1"/>
  <c r="F601" i="20" s="1"/>
  <c r="D602" i="20" s="1"/>
  <c r="D779" i="20"/>
  <c r="E779" i="20" s="1"/>
  <c r="F779" i="20" s="1"/>
  <c r="D934" i="13"/>
  <c r="E934" i="13" s="1"/>
  <c r="G933" i="13"/>
  <c r="D499" i="13"/>
  <c r="E499" i="13" s="1"/>
  <c r="G498" i="13"/>
  <c r="D844" i="13"/>
  <c r="E844" i="13" s="1"/>
  <c r="G843" i="13"/>
  <c r="D155" i="13"/>
  <c r="G154" i="13"/>
  <c r="D764" i="13"/>
  <c r="G763" i="13"/>
  <c r="E246" i="20"/>
  <c r="F246" i="20" s="1"/>
  <c r="E414" i="13"/>
  <c r="F414" i="13" s="1"/>
  <c r="E241" i="13"/>
  <c r="F241" i="13" s="1"/>
  <c r="E676" i="13"/>
  <c r="F676" i="13" s="1"/>
  <c r="E335" i="20"/>
  <c r="F335" i="20" s="1"/>
  <c r="E421" i="20"/>
  <c r="F421" i="20" s="1"/>
  <c r="E157" i="20"/>
  <c r="F157" i="20" s="1"/>
  <c r="E692" i="20"/>
  <c r="F692" i="20" s="1"/>
  <c r="E591" i="13"/>
  <c r="F591" i="13" s="1"/>
  <c r="D592" i="13" s="1"/>
  <c r="E325" i="13"/>
  <c r="F325" i="13" s="1"/>
  <c r="D1112" i="13" l="1"/>
  <c r="E1112" i="13" s="1"/>
  <c r="F1112" i="13" s="1"/>
  <c r="G1111" i="13"/>
  <c r="G1199" i="13"/>
  <c r="E1200" i="13"/>
  <c r="F1200" i="13" s="1"/>
  <c r="D1201" i="13" s="1"/>
  <c r="D1011" i="13"/>
  <c r="G1010" i="13"/>
  <c r="D336" i="20"/>
  <c r="E336" i="20" s="1"/>
  <c r="F336" i="20" s="1"/>
  <c r="D337" i="20" s="1"/>
  <c r="D326" i="13"/>
  <c r="E326" i="13" s="1"/>
  <c r="F326" i="13" s="1"/>
  <c r="D327" i="13" s="1"/>
  <c r="G325" i="13"/>
  <c r="F934" i="13"/>
  <c r="F499" i="13"/>
  <c r="D500" i="13" s="1"/>
  <c r="E500" i="13" s="1"/>
  <c r="F844" i="13"/>
  <c r="D158" i="20"/>
  <c r="D422" i="20"/>
  <c r="D780" i="20"/>
  <c r="D242" i="13"/>
  <c r="G241" i="13"/>
  <c r="D415" i="13"/>
  <c r="G414" i="13"/>
  <c r="D247" i="20"/>
  <c r="D693" i="20"/>
  <c r="D677" i="13"/>
  <c r="G676" i="13"/>
  <c r="D514" i="20"/>
  <c r="E602" i="20"/>
  <c r="F602" i="20" s="1"/>
  <c r="E592" i="13"/>
  <c r="F592" i="13" s="1"/>
  <c r="D593" i="13" s="1"/>
  <c r="E764" i="13"/>
  <c r="F764" i="13" s="1"/>
  <c r="D765" i="13" s="1"/>
  <c r="G591" i="13"/>
  <c r="E155" i="13"/>
  <c r="F155" i="13" s="1"/>
  <c r="D156" i="13" s="1"/>
  <c r="D1113" i="13" l="1"/>
  <c r="E1113" i="13" s="1"/>
  <c r="G1112" i="13"/>
  <c r="G1200" i="13"/>
  <c r="E1201" i="13"/>
  <c r="F1201" i="13" s="1"/>
  <c r="E1011" i="13"/>
  <c r="F1011" i="13" s="1"/>
  <c r="D603" i="20"/>
  <c r="E603" i="20" s="1"/>
  <c r="F603" i="20" s="1"/>
  <c r="D604" i="20" s="1"/>
  <c r="D935" i="13"/>
  <c r="E935" i="13" s="1"/>
  <c r="G934" i="13"/>
  <c r="G499" i="13"/>
  <c r="F500" i="13"/>
  <c r="D501" i="13" s="1"/>
  <c r="E501" i="13" s="1"/>
  <c r="F501" i="13" s="1"/>
  <c r="G764" i="13"/>
  <c r="D845" i="13"/>
  <c r="E845" i="13" s="1"/>
  <c r="G844" i="13"/>
  <c r="G155" i="13"/>
  <c r="E780" i="20"/>
  <c r="F780" i="20" s="1"/>
  <c r="D781" i="20" s="1"/>
  <c r="E514" i="20"/>
  <c r="F514" i="20" s="1"/>
  <c r="E247" i="20"/>
  <c r="F247" i="20" s="1"/>
  <c r="E327" i="13"/>
  <c r="F327" i="13" s="1"/>
  <c r="E765" i="13"/>
  <c r="F765" i="13" s="1"/>
  <c r="D766" i="13" s="1"/>
  <c r="E593" i="13"/>
  <c r="F593" i="13" s="1"/>
  <c r="E156" i="13"/>
  <c r="F156" i="13" s="1"/>
  <c r="G326" i="13"/>
  <c r="E677" i="13"/>
  <c r="F677" i="13" s="1"/>
  <c r="D678" i="13" s="1"/>
  <c r="E415" i="13"/>
  <c r="F415" i="13" s="1"/>
  <c r="D416" i="13" s="1"/>
  <c r="E422" i="20"/>
  <c r="F422" i="20" s="1"/>
  <c r="G592" i="13"/>
  <c r="E242" i="13"/>
  <c r="F242" i="13" s="1"/>
  <c r="D243" i="13" s="1"/>
  <c r="E337" i="20"/>
  <c r="F337" i="20" s="1"/>
  <c r="E693" i="20"/>
  <c r="F693" i="20" s="1"/>
  <c r="D694" i="20" s="1"/>
  <c r="E158" i="20"/>
  <c r="F158" i="20" s="1"/>
  <c r="F1113" i="13" l="1"/>
  <c r="D1114" i="13" s="1"/>
  <c r="E1114" i="13" s="1"/>
  <c r="F1114" i="13" s="1"/>
  <c r="D1202" i="13"/>
  <c r="G1201" i="13"/>
  <c r="D1012" i="13"/>
  <c r="E1012" i="13" s="1"/>
  <c r="F1012" i="13" s="1"/>
  <c r="G1011" i="13"/>
  <c r="G500" i="13"/>
  <c r="D423" i="20"/>
  <c r="E423" i="20" s="1"/>
  <c r="F423" i="20" s="1"/>
  <c r="D424" i="20" s="1"/>
  <c r="D159" i="20"/>
  <c r="E159" i="20" s="1"/>
  <c r="F159" i="20" s="1"/>
  <c r="D160" i="20" s="1"/>
  <c r="D328" i="13"/>
  <c r="E328" i="13" s="1"/>
  <c r="F328" i="13" s="1"/>
  <c r="G327" i="13"/>
  <c r="D338" i="20"/>
  <c r="E338" i="20" s="1"/>
  <c r="F338" i="20" s="1"/>
  <c r="D339" i="20" s="1"/>
  <c r="F935" i="13"/>
  <c r="D936" i="13" s="1"/>
  <c r="E936" i="13" s="1"/>
  <c r="D502" i="13"/>
  <c r="E502" i="13" s="1"/>
  <c r="F502" i="13" s="1"/>
  <c r="G501" i="13"/>
  <c r="F845" i="13"/>
  <c r="D846" i="13" s="1"/>
  <c r="E846" i="13" s="1"/>
  <c r="D594" i="13"/>
  <c r="E594" i="13" s="1"/>
  <c r="F594" i="13" s="1"/>
  <c r="D595" i="13" s="1"/>
  <c r="G593" i="13"/>
  <c r="D515" i="20"/>
  <c r="D157" i="13"/>
  <c r="G156" i="13"/>
  <c r="D248" i="20"/>
  <c r="E678" i="13"/>
  <c r="F678" i="13" s="1"/>
  <c r="E694" i="20"/>
  <c r="F694" i="20" s="1"/>
  <c r="G677" i="13"/>
  <c r="E766" i="13"/>
  <c r="F766" i="13" s="1"/>
  <c r="D767" i="13" s="1"/>
  <c r="E781" i="20"/>
  <c r="F781" i="20" s="1"/>
  <c r="D782" i="20" s="1"/>
  <c r="G765" i="13"/>
  <c r="E416" i="13"/>
  <c r="F416" i="13" s="1"/>
  <c r="D417" i="13" s="1"/>
  <c r="E604" i="20"/>
  <c r="F604" i="20" s="1"/>
  <c r="D605" i="20" s="1"/>
  <c r="E243" i="13"/>
  <c r="F243" i="13" s="1"/>
  <c r="D244" i="13" s="1"/>
  <c r="G242" i="13"/>
  <c r="G415" i="13"/>
  <c r="G1113" i="13" l="1"/>
  <c r="D1115" i="13"/>
  <c r="E1115" i="13" s="1"/>
  <c r="F1115" i="13" s="1"/>
  <c r="D1116" i="13" s="1"/>
  <c r="G1114" i="13"/>
  <c r="E1202" i="13"/>
  <c r="E1203" i="13" s="1"/>
  <c r="D1013" i="13"/>
  <c r="G1012" i="13"/>
  <c r="G935" i="13"/>
  <c r="F936" i="13"/>
  <c r="F846" i="13"/>
  <c r="G845" i="13"/>
  <c r="D695" i="20"/>
  <c r="D329" i="13"/>
  <c r="G328" i="13"/>
  <c r="D679" i="13"/>
  <c r="G678" i="13"/>
  <c r="D503" i="13"/>
  <c r="G502" i="13"/>
  <c r="E244" i="13"/>
  <c r="F244" i="13" s="1"/>
  <c r="D245" i="13" s="1"/>
  <c r="G766" i="13"/>
  <c r="E417" i="13"/>
  <c r="F417" i="13" s="1"/>
  <c r="D418" i="13" s="1"/>
  <c r="E515" i="20"/>
  <c r="F515" i="20" s="1"/>
  <c r="G416" i="13"/>
  <c r="G243" i="13"/>
  <c r="E248" i="20"/>
  <c r="F248" i="20" s="1"/>
  <c r="E424" i="20"/>
  <c r="F424" i="20" s="1"/>
  <c r="E160" i="20"/>
  <c r="F160" i="20" s="1"/>
  <c r="G594" i="13"/>
  <c r="E157" i="13"/>
  <c r="F157" i="13" s="1"/>
  <c r="D158" i="13" s="1"/>
  <c r="E767" i="13"/>
  <c r="F767" i="13" s="1"/>
  <c r="E605" i="20"/>
  <c r="F605" i="20" s="1"/>
  <c r="E595" i="13"/>
  <c r="F595" i="13" s="1"/>
  <c r="D596" i="13" s="1"/>
  <c r="E782" i="20"/>
  <c r="F782" i="20" s="1"/>
  <c r="E339" i="20"/>
  <c r="F339" i="20" s="1"/>
  <c r="F1202" i="13" l="1"/>
  <c r="G1202" i="13" s="1"/>
  <c r="G1115" i="13"/>
  <c r="E1116" i="13"/>
  <c r="E1117" i="13" s="1"/>
  <c r="E1013" i="13"/>
  <c r="F1013" i="13" s="1"/>
  <c r="D606" i="20"/>
  <c r="E606" i="20" s="1"/>
  <c r="F606" i="20" s="1"/>
  <c r="D607" i="20" s="1"/>
  <c r="D516" i="20"/>
  <c r="E516" i="20" s="1"/>
  <c r="F516" i="20" s="1"/>
  <c r="D937" i="13"/>
  <c r="E937" i="13" s="1"/>
  <c r="G936" i="13"/>
  <c r="D847" i="13"/>
  <c r="E847" i="13" s="1"/>
  <c r="G846" i="13"/>
  <c r="D340" i="20"/>
  <c r="D768" i="13"/>
  <c r="G767" i="13"/>
  <c r="D161" i="20"/>
  <c r="D783" i="20"/>
  <c r="D425" i="20"/>
  <c r="D249" i="20"/>
  <c r="E418" i="13"/>
  <c r="F418" i="13" s="1"/>
  <c r="E679" i="13"/>
  <c r="F679" i="13" s="1"/>
  <c r="E503" i="13"/>
  <c r="F503" i="13" s="1"/>
  <c r="D504" i="13" s="1"/>
  <c r="E158" i="13"/>
  <c r="F158" i="13" s="1"/>
  <c r="D159" i="13" s="1"/>
  <c r="G157" i="13"/>
  <c r="G244" i="13"/>
  <c r="E329" i="13"/>
  <c r="F329" i="13" s="1"/>
  <c r="E245" i="13"/>
  <c r="F245" i="13" s="1"/>
  <c r="E596" i="13"/>
  <c r="E597" i="13" s="1"/>
  <c r="G595" i="13"/>
  <c r="G417" i="13"/>
  <c r="E695" i="20"/>
  <c r="F695" i="20" s="1"/>
  <c r="F1116" i="13" l="1"/>
  <c r="G1116" i="13" s="1"/>
  <c r="G1013" i="13"/>
  <c r="D1014" i="13"/>
  <c r="D696" i="20"/>
  <c r="E696" i="20" s="1"/>
  <c r="E697" i="20" s="1"/>
  <c r="D330" i="13"/>
  <c r="E330" i="13" s="1"/>
  <c r="F330" i="13" s="1"/>
  <c r="D331" i="13" s="1"/>
  <c r="G329" i="13"/>
  <c r="F937" i="13"/>
  <c r="F847" i="13"/>
  <c r="D680" i="13"/>
  <c r="E680" i="13" s="1"/>
  <c r="F680" i="13" s="1"/>
  <c r="G679" i="13"/>
  <c r="D246" i="13"/>
  <c r="G245" i="13"/>
  <c r="D517" i="20"/>
  <c r="D419" i="13"/>
  <c r="G418" i="13"/>
  <c r="E607" i="20"/>
  <c r="E608" i="20" s="1"/>
  <c r="G503" i="13"/>
  <c r="E249" i="20"/>
  <c r="F249" i="20" s="1"/>
  <c r="G158" i="13"/>
  <c r="E161" i="20"/>
  <c r="F161" i="20" s="1"/>
  <c r="E425" i="20"/>
  <c r="F425" i="20" s="1"/>
  <c r="E768" i="13"/>
  <c r="F768" i="13" s="1"/>
  <c r="E504" i="13"/>
  <c r="F504" i="13" s="1"/>
  <c r="F596" i="13"/>
  <c r="G596" i="13" s="1"/>
  <c r="E159" i="13"/>
  <c r="F159" i="13" s="1"/>
  <c r="E783" i="20"/>
  <c r="F783" i="20" s="1"/>
  <c r="E340" i="20"/>
  <c r="E341" i="20" s="1"/>
  <c r="E1014" i="13" l="1"/>
  <c r="F1014" i="13" s="1"/>
  <c r="D938" i="13"/>
  <c r="E938" i="13" s="1"/>
  <c r="G937" i="13"/>
  <c r="D848" i="13"/>
  <c r="E848" i="13" s="1"/>
  <c r="G847" i="13"/>
  <c r="D160" i="13"/>
  <c r="G159" i="13"/>
  <c r="D162" i="20"/>
  <c r="D681" i="13"/>
  <c r="G680" i="13"/>
  <c r="D505" i="13"/>
  <c r="G504" i="13"/>
  <c r="D769" i="13"/>
  <c r="G768" i="13"/>
  <c r="D250" i="20"/>
  <c r="D426" i="20"/>
  <c r="D784" i="20"/>
  <c r="G330" i="13"/>
  <c r="E331" i="13"/>
  <c r="F331" i="13" s="1"/>
  <c r="D332" i="13" s="1"/>
  <c r="E419" i="13"/>
  <c r="F419" i="13" s="1"/>
  <c r="D420" i="13" s="1"/>
  <c r="F340" i="20"/>
  <c r="F696" i="20"/>
  <c r="E517" i="20"/>
  <c r="F517" i="20" s="1"/>
  <c r="D518" i="20" s="1"/>
  <c r="F607" i="20"/>
  <c r="E246" i="13"/>
  <c r="F246" i="13" s="1"/>
  <c r="D247" i="13" s="1"/>
  <c r="D1015" i="13" l="1"/>
  <c r="G1014" i="13"/>
  <c r="F938" i="13"/>
  <c r="F848" i="13"/>
  <c r="E518" i="20"/>
  <c r="E519" i="20" s="1"/>
  <c r="E426" i="20"/>
  <c r="F426" i="20" s="1"/>
  <c r="D427" i="20" s="1"/>
  <c r="E505" i="13"/>
  <c r="F505" i="13" s="1"/>
  <c r="E681" i="13"/>
  <c r="F681" i="13" s="1"/>
  <c r="E250" i="20"/>
  <c r="F250" i="20" s="1"/>
  <c r="E162" i="20"/>
  <c r="E163" i="20" s="1"/>
  <c r="E332" i="13"/>
  <c r="F332" i="13" s="1"/>
  <c r="G246" i="13"/>
  <c r="E784" i="20"/>
  <c r="F784" i="20" s="1"/>
  <c r="E769" i="13"/>
  <c r="F769" i="13" s="1"/>
  <c r="E420" i="13"/>
  <c r="F420" i="13" s="1"/>
  <c r="E247" i="13"/>
  <c r="F247" i="13" s="1"/>
  <c r="G331" i="13"/>
  <c r="G419" i="13"/>
  <c r="E160" i="13"/>
  <c r="F160" i="13" s="1"/>
  <c r="E1015" i="13" l="1"/>
  <c r="F1015" i="13" s="1"/>
  <c r="D939" i="13"/>
  <c r="E939" i="13" s="1"/>
  <c r="G938" i="13"/>
  <c r="D849" i="13"/>
  <c r="E849" i="13" s="1"/>
  <c r="G848" i="13"/>
  <c r="D770" i="13"/>
  <c r="E770" i="13" s="1"/>
  <c r="E771" i="13" s="1"/>
  <c r="G769" i="13"/>
  <c r="D421" i="13"/>
  <c r="E421" i="13" s="1"/>
  <c r="F421" i="13" s="1"/>
  <c r="G420" i="13"/>
  <c r="D333" i="13"/>
  <c r="G332" i="13"/>
  <c r="D251" i="20"/>
  <c r="D161" i="13"/>
  <c r="G160" i="13"/>
  <c r="D785" i="20"/>
  <c r="D682" i="13"/>
  <c r="G681" i="13"/>
  <c r="D248" i="13"/>
  <c r="G247" i="13"/>
  <c r="D506" i="13"/>
  <c r="G505" i="13"/>
  <c r="F162" i="20"/>
  <c r="E427" i="20"/>
  <c r="F427" i="20" s="1"/>
  <c r="D428" i="20" s="1"/>
  <c r="F518" i="20"/>
  <c r="D1016" i="13" l="1"/>
  <c r="G1015" i="13"/>
  <c r="F939" i="13"/>
  <c r="D940" i="13" s="1"/>
  <c r="E940" i="13" s="1"/>
  <c r="F849" i="13"/>
  <c r="D422" i="13"/>
  <c r="G421" i="13"/>
  <c r="E506" i="13"/>
  <c r="F506" i="13" s="1"/>
  <c r="F770" i="13"/>
  <c r="G770" i="13" s="1"/>
  <c r="E161" i="13"/>
  <c r="E162" i="13" s="1"/>
  <c r="E785" i="20"/>
  <c r="E786" i="20" s="1"/>
  <c r="E248" i="13"/>
  <c r="E249" i="13" s="1"/>
  <c r="E682" i="13"/>
  <c r="F682" i="13" s="1"/>
  <c r="E251" i="20"/>
  <c r="E252" i="20" s="1"/>
  <c r="E428" i="20"/>
  <c r="F428" i="20" s="1"/>
  <c r="E333" i="13"/>
  <c r="F333" i="13" s="1"/>
  <c r="E1016" i="13" l="1"/>
  <c r="F1016" i="13" s="1"/>
  <c r="F248" i="13"/>
  <c r="G248" i="13" s="1"/>
  <c r="F940" i="13"/>
  <c r="D941" i="13" s="1"/>
  <c r="E941" i="13" s="1"/>
  <c r="G939" i="13"/>
  <c r="D850" i="13"/>
  <c r="E850" i="13" s="1"/>
  <c r="G849" i="13"/>
  <c r="D683" i="13"/>
  <c r="E683" i="13" s="1"/>
  <c r="E684" i="13" s="1"/>
  <c r="G682" i="13"/>
  <c r="D429" i="20"/>
  <c r="D334" i="13"/>
  <c r="G333" i="13"/>
  <c r="D507" i="13"/>
  <c r="G506" i="13"/>
  <c r="F161" i="13"/>
  <c r="G161" i="13" s="1"/>
  <c r="F251" i="20"/>
  <c r="F785" i="20"/>
  <c r="E422" i="13"/>
  <c r="E423" i="13" s="1"/>
  <c r="D1017" i="13" l="1"/>
  <c r="G1016" i="13"/>
  <c r="G940" i="13"/>
  <c r="F941" i="13"/>
  <c r="F850" i="13"/>
  <c r="E507" i="13"/>
  <c r="F507" i="13" s="1"/>
  <c r="E429" i="20"/>
  <c r="E430" i="20" s="1"/>
  <c r="F683" i="13"/>
  <c r="G683" i="13" s="1"/>
  <c r="E334" i="13"/>
  <c r="F334" i="13" s="1"/>
  <c r="F422" i="13"/>
  <c r="G422" i="13" s="1"/>
  <c r="E1017" i="13" l="1"/>
  <c r="F1017" i="13" s="1"/>
  <c r="D942" i="13"/>
  <c r="E942" i="13" s="1"/>
  <c r="G941" i="13"/>
  <c r="D851" i="13"/>
  <c r="E851" i="13" s="1"/>
  <c r="G850" i="13"/>
  <c r="D508" i="13"/>
  <c r="G507" i="13"/>
  <c r="D335" i="13"/>
  <c r="G334" i="13"/>
  <c r="F429" i="20"/>
  <c r="G1017" i="13" l="1"/>
  <c r="D1018" i="13"/>
  <c r="F942" i="13"/>
  <c r="F851" i="13"/>
  <c r="E335" i="13"/>
  <c r="E336" i="13" s="1"/>
  <c r="E508" i="13"/>
  <c r="F508" i="13" s="1"/>
  <c r="E1018" i="13" l="1"/>
  <c r="F1018" i="13" s="1"/>
  <c r="D943" i="13"/>
  <c r="E943" i="13" s="1"/>
  <c r="G942" i="13"/>
  <c r="F335" i="13"/>
  <c r="G335" i="13" s="1"/>
  <c r="D852" i="13"/>
  <c r="E852" i="13" s="1"/>
  <c r="G851" i="13"/>
  <c r="D509" i="13"/>
  <c r="G508" i="13"/>
  <c r="D1019" i="13" l="1"/>
  <c r="G1018" i="13"/>
  <c r="F943" i="13"/>
  <c r="F852" i="13"/>
  <c r="E509" i="13"/>
  <c r="E510" i="13" s="1"/>
  <c r="E1019" i="13" l="1"/>
  <c r="F1019" i="13" s="1"/>
  <c r="D944" i="13"/>
  <c r="E944" i="13" s="1"/>
  <c r="G943" i="13"/>
  <c r="D853" i="13"/>
  <c r="E853" i="13" s="1"/>
  <c r="G852" i="13"/>
  <c r="F509" i="13"/>
  <c r="G509" i="13" s="1"/>
  <c r="D1020" i="13" l="1"/>
  <c r="E1020" i="13" s="1"/>
  <c r="F1020" i="13" s="1"/>
  <c r="G1019" i="13"/>
  <c r="F853" i="13"/>
  <c r="G1020" i="13" l="1"/>
  <c r="D1021" i="13"/>
  <c r="F944" i="13"/>
  <c r="G944" i="13" s="1"/>
  <c r="E945" i="13"/>
  <c r="D854" i="13"/>
  <c r="E854" i="13" s="1"/>
  <c r="G853" i="13"/>
  <c r="E1021" i="13" l="1"/>
  <c r="F1021" i="13" s="1"/>
  <c r="F854" i="13"/>
  <c r="D1022" i="13" l="1"/>
  <c r="G1021" i="13"/>
  <c r="D855" i="13"/>
  <c r="E855" i="13" s="1"/>
  <c r="G854" i="13"/>
  <c r="E1022" i="13" l="1"/>
  <c r="F1022" i="13" s="1"/>
  <c r="F855" i="13"/>
  <c r="D1023" i="13" l="1"/>
  <c r="E1023" i="13" s="1"/>
  <c r="F1023" i="13" s="1"/>
  <c r="G1022" i="13"/>
  <c r="D856" i="13"/>
  <c r="E856" i="13" s="1"/>
  <c r="G855" i="13"/>
  <c r="G1023" i="13" l="1"/>
  <c r="D1024" i="13"/>
  <c r="F856" i="13"/>
  <c r="E1024" i="13" l="1"/>
  <c r="F1024" i="13" s="1"/>
  <c r="D857" i="13"/>
  <c r="E857" i="13" s="1"/>
  <c r="G856" i="13"/>
  <c r="D1025" i="13" l="1"/>
  <c r="G1024" i="13"/>
  <c r="E858" i="13"/>
  <c r="E1025" i="13" l="1"/>
  <c r="F1025" i="13" s="1"/>
  <c r="F857" i="13"/>
  <c r="G857" i="13" s="1"/>
  <c r="D1026" i="13" l="1"/>
  <c r="G1025" i="13"/>
  <c r="M798" i="13"/>
  <c r="P798" i="13" s="1"/>
  <c r="E1026" i="13" l="1"/>
  <c r="F1026" i="13" s="1"/>
  <c r="D1027" i="13" s="1"/>
  <c r="E1027" i="13" l="1"/>
  <c r="F1027" i="13" s="1"/>
  <c r="G1026" i="13"/>
  <c r="G1027" i="13" l="1"/>
  <c r="D1028" i="13"/>
  <c r="E1028" i="13" l="1"/>
  <c r="F1028" i="13" s="1"/>
  <c r="D1029" i="13" l="1"/>
  <c r="G1028" i="13"/>
  <c r="E1029" i="13" l="1"/>
  <c r="F1029" i="13" s="1"/>
  <c r="D1030" i="13" l="1"/>
  <c r="G1029" i="13"/>
  <c r="E1030" i="13" l="1"/>
  <c r="E1031" i="13" s="1"/>
  <c r="F1030" i="13" l="1"/>
  <c r="G1030" i="13" s="1"/>
  <c r="C42" i="35"/>
  <c r="G80" i="2" s="1"/>
  <c r="G94" i="2" l="1"/>
  <c r="G100" i="2" s="1"/>
  <c r="G91" i="2"/>
  <c r="L80" i="2"/>
  <c r="L91" i="2" s="1"/>
  <c r="E47" i="11" l="1"/>
  <c r="E61" i="11" s="1"/>
  <c r="L94" i="2"/>
  <c r="L100" i="2" s="1"/>
  <c r="M47" i="11" l="1"/>
  <c r="E50" i="11"/>
  <c r="E52" i="11" s="1"/>
  <c r="E63" i="11"/>
  <c r="M61" i="11"/>
  <c r="M50" i="11" l="1"/>
  <c r="E71" i="11"/>
  <c r="J100" i="2"/>
  <c r="E54" i="11"/>
  <c r="M52" i="11"/>
  <c r="E65" i="11"/>
  <c r="M63" i="11"/>
  <c r="G71" i="11" l="1"/>
  <c r="I66" i="11"/>
  <c r="I67" i="11" s="1"/>
  <c r="I68" i="11" s="1"/>
  <c r="G66" i="11"/>
  <c r="E66" i="11"/>
  <c r="E67" i="11" s="1"/>
  <c r="I55" i="11"/>
  <c r="I56" i="11" s="1"/>
  <c r="I57" i="11" s="1"/>
  <c r="E55" i="11"/>
  <c r="E56" i="11" s="1"/>
  <c r="G55" i="11"/>
  <c r="G56" i="11" s="1"/>
  <c r="G57" i="11" s="1"/>
  <c r="G67" i="11" l="1"/>
  <c r="G68" i="11" s="1"/>
  <c r="M56" i="11"/>
  <c r="E68" i="11"/>
  <c r="E57" i="11"/>
  <c r="M68" i="11" l="1"/>
  <c r="E69" i="11" s="1"/>
  <c r="M67" i="11"/>
  <c r="M57" i="11"/>
  <c r="E58" i="11" s="1"/>
  <c r="I69" i="11" l="1"/>
  <c r="G69" i="11"/>
  <c r="D93" i="39"/>
  <c r="I58" i="11"/>
  <c r="G58" i="11"/>
  <c r="I43" i="30" l="1"/>
  <c r="H41" i="30"/>
  <c r="I41" i="30" s="1"/>
  <c r="I33" i="30"/>
  <c r="H32" i="30"/>
  <c r="I32" i="30" s="1"/>
  <c r="I28" i="30" l="1"/>
  <c r="I40" i="30"/>
  <c r="I42" i="30"/>
  <c r="I38" i="30" l="1"/>
  <c r="I26" i="30" s="1"/>
  <c r="L191" i="2" s="1"/>
  <c r="L194" i="2" s="1"/>
  <c r="F74" i="41"/>
  <c r="C74" i="41" l="1"/>
  <c r="E50" i="41" s="1"/>
  <c r="E76" i="41"/>
  <c r="T68" i="38" l="1"/>
  <c r="K59" i="38" l="1"/>
  <c r="K68" i="38" s="1"/>
  <c r="V68" i="38"/>
  <c r="I59" i="38"/>
  <c r="I68" i="38" s="1"/>
  <c r="D59" i="38"/>
  <c r="S68" i="38"/>
  <c r="E27" i="5" l="1"/>
  <c r="I27" i="5" s="1"/>
  <c r="G59" i="38"/>
  <c r="F60" i="38"/>
  <c r="E25" i="5"/>
  <c r="I25" i="5" l="1"/>
  <c r="E28" i="5"/>
  <c r="D60" i="38"/>
  <c r="F68" i="38"/>
  <c r="G60" i="38" l="1"/>
  <c r="G68" i="38" s="1"/>
  <c r="D68" i="38"/>
  <c r="I28" i="5"/>
  <c r="L105" i="2" s="1"/>
  <c r="G105" i="2"/>
  <c r="K93" i="39" l="1"/>
  <c r="K109" i="39" s="1"/>
  <c r="W109" i="39"/>
  <c r="I93" i="39" l="1"/>
  <c r="I109" i="39" s="1"/>
  <c r="U109" i="39"/>
  <c r="J93" i="39"/>
  <c r="V109" i="39"/>
  <c r="X109" i="39"/>
  <c r="L93" i="39"/>
  <c r="L109" i="39" s="1"/>
  <c r="E43" i="5" l="1"/>
  <c r="I43" i="5" s="1"/>
  <c r="G93" i="39"/>
  <c r="F94" i="39"/>
  <c r="E41" i="5"/>
  <c r="E44" i="5" l="1"/>
  <c r="I41" i="5"/>
  <c r="D94" i="39"/>
  <c r="F109" i="39"/>
  <c r="G94" i="39" l="1"/>
  <c r="G109" i="39" s="1"/>
  <c r="G107" i="2"/>
  <c r="G109" i="2" s="1"/>
  <c r="G131" i="2" s="1"/>
  <c r="I44" i="5"/>
  <c r="L107" i="2" s="1"/>
  <c r="L109" i="2" l="1"/>
  <c r="L131" i="2" s="1"/>
  <c r="E28" i="13" s="1"/>
  <c r="F28" i="20" l="1"/>
  <c r="M976" i="13"/>
  <c r="O975" i="13" l="1"/>
  <c r="O976" i="13"/>
  <c r="P976" i="13" s="1"/>
  <c r="G22" i="41" l="1"/>
  <c r="G21" i="41"/>
  <c r="G20" i="41"/>
  <c r="G19" i="41"/>
  <c r="G18" i="41"/>
  <c r="G17" i="41"/>
  <c r="G16" i="41"/>
  <c r="G15" i="41"/>
  <c r="G14" i="41"/>
  <c r="G13" i="41"/>
  <c r="G12" i="41"/>
  <c r="G11" i="41"/>
  <c r="G10" i="41" l="1"/>
  <c r="G23" i="41" s="1"/>
  <c r="C23" i="41"/>
  <c r="L264" i="2" s="1"/>
  <c r="L268" i="2" l="1"/>
  <c r="G273" i="2" s="1"/>
  <c r="G274" i="2" s="1"/>
  <c r="H271" i="2" s="1"/>
  <c r="E77" i="41" l="1"/>
  <c r="E79" i="41" s="1"/>
  <c r="E80" i="41" s="1"/>
  <c r="E51" i="41" s="1"/>
  <c r="E56" i="41" s="1"/>
  <c r="L261" i="2" s="1"/>
  <c r="H273" i="2"/>
  <c r="H272" i="2"/>
  <c r="D21" i="20"/>
  <c r="D21" i="13"/>
  <c r="D23" i="20" l="1"/>
  <c r="F23" i="20" s="1"/>
  <c r="E58" i="41"/>
  <c r="J271" i="2" s="1"/>
  <c r="E21" i="13" s="1"/>
  <c r="F21" i="13" s="1"/>
  <c r="D22" i="13"/>
  <c r="F22" i="13" s="1"/>
  <c r="I272" i="2"/>
  <c r="L272" i="2" s="1"/>
  <c r="D22" i="20"/>
  <c r="F22" i="20" s="1"/>
  <c r="I273" i="2"/>
  <c r="L273" i="2" s="1"/>
  <c r="D23" i="13"/>
  <c r="F23" i="13" s="1"/>
  <c r="I271" i="2" l="1"/>
  <c r="L271" i="2" s="1"/>
  <c r="E21" i="20"/>
  <c r="F21" i="20" s="1"/>
  <c r="F24" i="20" s="1"/>
  <c r="F29" i="20" s="1"/>
  <c r="F30" i="20" s="1"/>
  <c r="G56" i="20" s="1"/>
  <c r="F24" i="13"/>
  <c r="E29" i="13" s="1"/>
  <c r="E30" i="13" s="1"/>
  <c r="F56" i="13" s="1"/>
  <c r="L274" i="2" l="1"/>
  <c r="F34" i="20"/>
  <c r="E34" i="13"/>
  <c r="L213" i="2" l="1"/>
  <c r="G213" i="2"/>
  <c r="G198" i="2"/>
  <c r="G49" i="20" l="1"/>
  <c r="F49" i="13"/>
  <c r="E35" i="13"/>
  <c r="E36" i="13" s="1"/>
  <c r="L206" i="2"/>
  <c r="L219" i="2"/>
  <c r="G219" i="2"/>
  <c r="F35" i="20"/>
  <c r="F36" i="20" s="1"/>
  <c r="G206" i="2"/>
  <c r="L209" i="2" l="1"/>
  <c r="G209" i="2"/>
  <c r="E39" i="13" l="1"/>
  <c r="F39" i="20"/>
  <c r="L208" i="2" l="1"/>
  <c r="L211" i="2" l="1"/>
  <c r="F38" i="20"/>
  <c r="F40" i="20" s="1"/>
  <c r="G57" i="20" s="1"/>
  <c r="E38" i="13"/>
  <c r="E40" i="13" s="1"/>
  <c r="F57" i="13" s="1"/>
  <c r="F50" i="13" l="1"/>
  <c r="G50" i="20"/>
  <c r="G208" i="2" l="1"/>
  <c r="G211" i="2" s="1"/>
  <c r="K45" i="48" l="1"/>
  <c r="G161" i="2"/>
  <c r="F43" i="48" l="1"/>
  <c r="G159" i="2"/>
  <c r="G165" i="2" s="1"/>
  <c r="F47" i="48"/>
  <c r="C23" i="48" s="1"/>
  <c r="D43" i="48"/>
  <c r="D47" i="48"/>
  <c r="C22" i="48" l="1"/>
  <c r="L165" i="2"/>
  <c r="G43" i="48" l="1"/>
  <c r="G47" i="48"/>
  <c r="C24" i="48" l="1"/>
  <c r="H43" i="48" l="1"/>
  <c r="H47" i="48"/>
  <c r="G24" i="48"/>
  <c r="C25" i="48" l="1"/>
  <c r="I43" i="48" l="1"/>
  <c r="I47" i="48"/>
  <c r="C26" i="48" l="1"/>
  <c r="J43" i="48" l="1"/>
  <c r="K43" i="48" s="1"/>
  <c r="J47" i="48"/>
  <c r="C27" i="48" l="1"/>
  <c r="K47" i="48"/>
  <c r="C28" i="48" l="1"/>
  <c r="D24" i="48" l="1"/>
  <c r="E24" i="48" s="1"/>
  <c r="H24" i="48" s="1"/>
  <c r="I24" i="48" s="1"/>
  <c r="D23" i="48"/>
  <c r="E23" i="48" s="1"/>
  <c r="G171" i="2" s="1"/>
  <c r="D22" i="48"/>
  <c r="E22" i="48" s="1"/>
  <c r="D25" i="48"/>
  <c r="E25" i="48" s="1"/>
  <c r="D26" i="48"/>
  <c r="E26" i="48" s="1"/>
  <c r="D27" i="48"/>
  <c r="E27" i="48" s="1"/>
  <c r="L171" i="2" l="1"/>
  <c r="L172" i="2" s="1"/>
  <c r="L174" i="2" s="1"/>
  <c r="L176" i="2" s="1"/>
  <c r="L221" i="2" s="1"/>
  <c r="L13" i="2" s="1"/>
  <c r="G172" i="2"/>
  <c r="G174" i="2" s="1"/>
  <c r="G176" i="2" s="1"/>
  <c r="G221" i="2" s="1"/>
  <c r="G47" i="20" l="1"/>
  <c r="G51" i="20" s="1"/>
  <c r="G55" i="20" s="1"/>
  <c r="G58" i="20" s="1"/>
  <c r="L34" i="2"/>
  <c r="L20" i="2"/>
  <c r="L37" i="2"/>
  <c r="F47" i="13"/>
  <c r="F51" i="13" s="1"/>
  <c r="F55" i="13" s="1"/>
  <c r="F58" i="13" s="1"/>
  <c r="L30" i="2"/>
  <c r="L31" i="2" s="1"/>
  <c r="F60" i="13" l="1"/>
  <c r="F68" i="13" s="1"/>
  <c r="F69" i="13" s="1"/>
  <c r="F65" i="13"/>
  <c r="F66" i="13" s="1"/>
  <c r="G70" i="20"/>
  <c r="F70" i="13"/>
  <c r="G60" i="20"/>
  <c r="G68" i="20" s="1"/>
  <c r="G69" i="20" s="1"/>
  <c r="G65" i="20"/>
  <c r="G66" i="20" s="1"/>
  <c r="G71" i="20" l="1"/>
  <c r="J358" i="13"/>
  <c r="J966" i="13"/>
  <c r="J445" i="13"/>
  <c r="J1138" i="13"/>
  <c r="J532" i="13"/>
  <c r="J271" i="13"/>
  <c r="J706" i="13"/>
  <c r="J97" i="13"/>
  <c r="J1052" i="13"/>
  <c r="J793" i="13"/>
  <c r="J184" i="13"/>
  <c r="J880" i="13"/>
  <c r="J619" i="13"/>
  <c r="I543" i="20"/>
  <c r="I276" i="20"/>
  <c r="I98" i="20"/>
  <c r="I632" i="20"/>
  <c r="I187" i="20"/>
  <c r="I365" i="20"/>
  <c r="I454" i="20"/>
  <c r="I721" i="20"/>
  <c r="F71" i="13"/>
  <c r="G339" i="20" l="1"/>
  <c r="G290" i="20"/>
  <c r="G337" i="20"/>
  <c r="G300" i="20"/>
  <c r="G338" i="20"/>
  <c r="G327" i="20"/>
  <c r="G297" i="20"/>
  <c r="G293" i="20"/>
  <c r="G289" i="20"/>
  <c r="G307" i="20"/>
  <c r="G311" i="20"/>
  <c r="G282" i="20"/>
  <c r="G325" i="20"/>
  <c r="G308" i="20"/>
  <c r="G292" i="20"/>
  <c r="G299" i="20"/>
  <c r="G298" i="20"/>
  <c r="G322" i="20"/>
  <c r="G305" i="20"/>
  <c r="G283" i="20"/>
  <c r="G304" i="20"/>
  <c r="G320" i="20"/>
  <c r="G332" i="20"/>
  <c r="G294" i="20"/>
  <c r="G313" i="20"/>
  <c r="G336" i="20"/>
  <c r="G315" i="20"/>
  <c r="G335" i="20"/>
  <c r="G321" i="20"/>
  <c r="G340" i="20"/>
  <c r="G330" i="20"/>
  <c r="G302" i="20"/>
  <c r="G326" i="20"/>
  <c r="G286" i="20"/>
  <c r="N268" i="20" s="1"/>
  <c r="G288" i="20"/>
  <c r="G295" i="20"/>
  <c r="G285" i="20"/>
  <c r="G324" i="20"/>
  <c r="G318" i="20"/>
  <c r="G317" i="20"/>
  <c r="G306" i="20"/>
  <c r="G310" i="20"/>
  <c r="G301" i="20"/>
  <c r="G328" i="20"/>
  <c r="G316" i="20"/>
  <c r="G287" i="20"/>
  <c r="G309" i="20"/>
  <c r="G319" i="20"/>
  <c r="G284" i="20"/>
  <c r="G312" i="20"/>
  <c r="I277" i="20"/>
  <c r="G281" i="20"/>
  <c r="G333" i="20"/>
  <c r="G314" i="20"/>
  <c r="G331" i="20"/>
  <c r="G303" i="20"/>
  <c r="G323" i="20"/>
  <c r="G296" i="20"/>
  <c r="G334" i="20"/>
  <c r="G329" i="20"/>
  <c r="G291" i="20"/>
  <c r="H723" i="13"/>
  <c r="H759" i="13"/>
  <c r="H718" i="13"/>
  <c r="H765" i="13"/>
  <c r="H712" i="13"/>
  <c r="M712" i="13" s="1"/>
  <c r="H753" i="13"/>
  <c r="H734" i="13"/>
  <c r="H762" i="13"/>
  <c r="H760" i="13"/>
  <c r="H738" i="13"/>
  <c r="H735" i="13"/>
  <c r="H768" i="13"/>
  <c r="H739" i="13"/>
  <c r="H726" i="13"/>
  <c r="H770" i="13"/>
  <c r="H720" i="13"/>
  <c r="M720" i="13" s="1"/>
  <c r="H763" i="13"/>
  <c r="H766" i="13"/>
  <c r="H757" i="13"/>
  <c r="H748" i="13"/>
  <c r="H764" i="13"/>
  <c r="H732" i="13"/>
  <c r="H758" i="13"/>
  <c r="H724" i="13"/>
  <c r="H761" i="13"/>
  <c r="H742" i="13"/>
  <c r="H711" i="13"/>
  <c r="H729" i="13"/>
  <c r="J707" i="13"/>
  <c r="H717" i="13"/>
  <c r="H741" i="13"/>
  <c r="H733" i="13"/>
  <c r="H740" i="13"/>
  <c r="H716" i="13"/>
  <c r="H750" i="13"/>
  <c r="H713" i="13"/>
  <c r="M713" i="13" s="1"/>
  <c r="H727" i="13"/>
  <c r="H725" i="13"/>
  <c r="H752" i="13"/>
  <c r="H719" i="13"/>
  <c r="H715" i="13"/>
  <c r="H769" i="13"/>
  <c r="H743" i="13"/>
  <c r="H721" i="13"/>
  <c r="H736" i="13"/>
  <c r="H737" i="13"/>
  <c r="H755" i="13"/>
  <c r="H746" i="13"/>
  <c r="H744" i="13"/>
  <c r="H747" i="13"/>
  <c r="H722" i="13"/>
  <c r="H728" i="13"/>
  <c r="H749" i="13"/>
  <c r="H756" i="13"/>
  <c r="H767" i="13"/>
  <c r="H714" i="13"/>
  <c r="H745" i="13"/>
  <c r="H731" i="13"/>
  <c r="H730" i="13"/>
  <c r="H754" i="13"/>
  <c r="H751" i="13"/>
  <c r="G567" i="20"/>
  <c r="G606" i="20"/>
  <c r="G571" i="20"/>
  <c r="G594" i="20"/>
  <c r="G552" i="20"/>
  <c r="N535" i="20" s="1"/>
  <c r="G582" i="20"/>
  <c r="G569" i="20"/>
  <c r="G566" i="20"/>
  <c r="G592" i="20"/>
  <c r="G556" i="20"/>
  <c r="G590" i="20"/>
  <c r="G607" i="20"/>
  <c r="G593" i="20"/>
  <c r="G549" i="20"/>
  <c r="G584" i="20"/>
  <c r="G578" i="20"/>
  <c r="G553" i="20"/>
  <c r="G595" i="20"/>
  <c r="G564" i="20"/>
  <c r="G557" i="20"/>
  <c r="G588" i="20"/>
  <c r="G574" i="20"/>
  <c r="G587" i="20"/>
  <c r="G585" i="20"/>
  <c r="G573" i="20"/>
  <c r="G568" i="20"/>
  <c r="G601" i="20"/>
  <c r="G577" i="20"/>
  <c r="G575" i="20"/>
  <c r="G550" i="20"/>
  <c r="G586" i="20"/>
  <c r="G555" i="20"/>
  <c r="G581" i="20"/>
  <c r="G551" i="20"/>
  <c r="G559" i="20"/>
  <c r="G565" i="20"/>
  <c r="G600" i="20"/>
  <c r="G605" i="20"/>
  <c r="G580" i="20"/>
  <c r="G603" i="20"/>
  <c r="G570" i="20"/>
  <c r="G563" i="20"/>
  <c r="G561" i="20"/>
  <c r="G548" i="20"/>
  <c r="G591" i="20"/>
  <c r="G572" i="20"/>
  <c r="G596" i="20"/>
  <c r="G602" i="20"/>
  <c r="G598" i="20"/>
  <c r="G589" i="20"/>
  <c r="I544" i="20"/>
  <c r="G560" i="20"/>
  <c r="G583" i="20"/>
  <c r="G579" i="20"/>
  <c r="G604" i="20"/>
  <c r="G597" i="20"/>
  <c r="G562" i="20"/>
  <c r="G599" i="20"/>
  <c r="G558" i="20"/>
  <c r="G576" i="20"/>
  <c r="G554" i="20"/>
  <c r="H313" i="13"/>
  <c r="H316" i="13"/>
  <c r="H288" i="13"/>
  <c r="M288" i="13" s="1"/>
  <c r="H333" i="13"/>
  <c r="H291" i="13"/>
  <c r="H281" i="13"/>
  <c r="M281" i="13" s="1"/>
  <c r="H332" i="13"/>
  <c r="H326" i="13"/>
  <c r="H334" i="13"/>
  <c r="H296" i="13"/>
  <c r="H292" i="13"/>
  <c r="H323" i="13"/>
  <c r="H304" i="13"/>
  <c r="H335" i="13"/>
  <c r="H302" i="13"/>
  <c r="H318" i="13"/>
  <c r="H293" i="13"/>
  <c r="H300" i="13"/>
  <c r="H285" i="13"/>
  <c r="M285" i="13" s="1"/>
  <c r="H289" i="13"/>
  <c r="H298" i="13"/>
  <c r="H310" i="13"/>
  <c r="H321" i="13"/>
  <c r="H284" i="13"/>
  <c r="M284" i="13" s="1"/>
  <c r="H314" i="13"/>
  <c r="H322" i="13"/>
  <c r="H325" i="13"/>
  <c r="H308" i="13"/>
  <c r="H303" i="13"/>
  <c r="H311" i="13"/>
  <c r="H299" i="13"/>
  <c r="H331" i="13"/>
  <c r="H328" i="13"/>
  <c r="J272" i="13"/>
  <c r="H290" i="13"/>
  <c r="H330" i="13"/>
  <c r="H315" i="13"/>
  <c r="H286" i="13"/>
  <c r="M286" i="13" s="1"/>
  <c r="H297" i="13"/>
  <c r="H312" i="13"/>
  <c r="H301" i="13"/>
  <c r="H320" i="13"/>
  <c r="H319" i="13"/>
  <c r="H287" i="13"/>
  <c r="H309" i="13"/>
  <c r="H278" i="13"/>
  <c r="M278" i="13" s="1"/>
  <c r="H305" i="13"/>
  <c r="H329" i="13"/>
  <c r="H307" i="13"/>
  <c r="H277" i="13"/>
  <c r="M277" i="13" s="1"/>
  <c r="H295" i="13"/>
  <c r="H317" i="13"/>
  <c r="H279" i="13"/>
  <c r="M279" i="13" s="1"/>
  <c r="H324" i="13"/>
  <c r="H294" i="13"/>
  <c r="H283" i="13"/>
  <c r="M283" i="13" s="1"/>
  <c r="H306" i="13"/>
  <c r="H282" i="13"/>
  <c r="M282" i="13" s="1"/>
  <c r="H280" i="13"/>
  <c r="M280" i="13" s="1"/>
  <c r="H276" i="13"/>
  <c r="H327" i="13"/>
  <c r="G768" i="20"/>
  <c r="G739" i="20"/>
  <c r="G752" i="20"/>
  <c r="G763" i="20"/>
  <c r="G775" i="20"/>
  <c r="G785" i="20"/>
  <c r="G777" i="20"/>
  <c r="G728" i="20"/>
  <c r="N713" i="20" s="1"/>
  <c r="G758" i="20"/>
  <c r="G765" i="20"/>
  <c r="G784" i="20"/>
  <c r="G759" i="20"/>
  <c r="G746" i="20"/>
  <c r="G761" i="20"/>
  <c r="G779" i="20"/>
  <c r="G760" i="20"/>
  <c r="G754" i="20"/>
  <c r="G767" i="20"/>
  <c r="G753" i="20"/>
  <c r="G762" i="20"/>
  <c r="G734" i="20"/>
  <c r="G755" i="20"/>
  <c r="G764" i="20"/>
  <c r="G756" i="20"/>
  <c r="G748" i="20"/>
  <c r="G731" i="20"/>
  <c r="G726" i="20"/>
  <c r="G769" i="20"/>
  <c r="G744" i="20"/>
  <c r="G757" i="20"/>
  <c r="G738" i="20"/>
  <c r="G733" i="20"/>
  <c r="G782" i="20"/>
  <c r="G780" i="20"/>
  <c r="G783" i="20"/>
  <c r="G751" i="20"/>
  <c r="G730" i="20"/>
  <c r="G747" i="20"/>
  <c r="G774" i="20"/>
  <c r="G736" i="20"/>
  <c r="G766" i="20"/>
  <c r="G729" i="20"/>
  <c r="G743" i="20"/>
  <c r="G737" i="20"/>
  <c r="I722" i="20"/>
  <c r="G772" i="20"/>
  <c r="G740" i="20"/>
  <c r="G742" i="20"/>
  <c r="G781" i="20"/>
  <c r="G749" i="20"/>
  <c r="G770" i="20"/>
  <c r="G778" i="20"/>
  <c r="G750" i="20"/>
  <c r="G776" i="20"/>
  <c r="G732" i="20"/>
  <c r="G741" i="20"/>
  <c r="G727" i="20"/>
  <c r="G745" i="20"/>
  <c r="G735" i="20"/>
  <c r="G771" i="20"/>
  <c r="G773" i="20"/>
  <c r="H675" i="13"/>
  <c r="H659" i="13"/>
  <c r="H674" i="13"/>
  <c r="H667" i="13"/>
  <c r="H632" i="13"/>
  <c r="H636" i="13"/>
  <c r="H637" i="13"/>
  <c r="H677" i="13"/>
  <c r="H668" i="13"/>
  <c r="H656" i="13"/>
  <c r="H666" i="13"/>
  <c r="H682" i="13"/>
  <c r="H624" i="13"/>
  <c r="H650" i="13"/>
  <c r="H676" i="13"/>
  <c r="H649" i="13"/>
  <c r="H639" i="13"/>
  <c r="H661" i="13"/>
  <c r="H634" i="13"/>
  <c r="H625" i="13"/>
  <c r="M625" i="13" s="1"/>
  <c r="H652" i="13"/>
  <c r="H651" i="13"/>
  <c r="H645" i="13"/>
  <c r="H630" i="13"/>
  <c r="M630" i="13" s="1"/>
  <c r="H672" i="13"/>
  <c r="H643" i="13"/>
  <c r="H648" i="13"/>
  <c r="H663" i="13"/>
  <c r="H680" i="13"/>
  <c r="H669" i="13"/>
  <c r="H653" i="13"/>
  <c r="H640" i="13"/>
  <c r="H665" i="13"/>
  <c r="H679" i="13"/>
  <c r="H657" i="13"/>
  <c r="H658" i="13"/>
  <c r="J620" i="13"/>
  <c r="H642" i="13"/>
  <c r="H646" i="13"/>
  <c r="H670" i="13"/>
  <c r="H673" i="13"/>
  <c r="H629" i="13"/>
  <c r="M629" i="13" s="1"/>
  <c r="H681" i="13"/>
  <c r="H628" i="13"/>
  <c r="M628" i="13" s="1"/>
  <c r="H671" i="13"/>
  <c r="H626" i="13"/>
  <c r="M626" i="13" s="1"/>
  <c r="H641" i="13"/>
  <c r="H638" i="13"/>
  <c r="H635" i="13"/>
  <c r="H647" i="13"/>
  <c r="H660" i="13"/>
  <c r="H655" i="13"/>
  <c r="H644" i="13"/>
  <c r="H664" i="13"/>
  <c r="H683" i="13"/>
  <c r="H633" i="13"/>
  <c r="M633" i="13" s="1"/>
  <c r="H654" i="13"/>
  <c r="H662" i="13"/>
  <c r="H631" i="13"/>
  <c r="M631" i="13" s="1"/>
  <c r="H678" i="13"/>
  <c r="H627" i="13"/>
  <c r="M627" i="13" s="1"/>
  <c r="H565" i="13"/>
  <c r="H585" i="13"/>
  <c r="H575" i="13"/>
  <c r="H587" i="13"/>
  <c r="H563" i="13"/>
  <c r="H547" i="13"/>
  <c r="H592" i="13"/>
  <c r="H577" i="13"/>
  <c r="H582" i="13"/>
  <c r="H589" i="13"/>
  <c r="H561" i="13"/>
  <c r="H557" i="13"/>
  <c r="H579" i="13"/>
  <c r="H571" i="13"/>
  <c r="H593" i="13"/>
  <c r="H549" i="13"/>
  <c r="H586" i="13"/>
  <c r="H590" i="13"/>
  <c r="H576" i="13"/>
  <c r="H552" i="13"/>
  <c r="H562" i="13"/>
  <c r="H554" i="13"/>
  <c r="H567" i="13"/>
  <c r="H584" i="13"/>
  <c r="H595" i="13"/>
  <c r="H553" i="13"/>
  <c r="H591" i="13"/>
  <c r="H594" i="13"/>
  <c r="J533" i="13"/>
  <c r="H541" i="13"/>
  <c r="M541" i="13" s="1"/>
  <c r="H596" i="13"/>
  <c r="H569" i="13"/>
  <c r="H583" i="13"/>
  <c r="H568" i="13"/>
  <c r="H566" i="13"/>
  <c r="H546" i="13"/>
  <c r="M546" i="13" s="1"/>
  <c r="H551" i="13"/>
  <c r="H555" i="13"/>
  <c r="H544" i="13"/>
  <c r="M544" i="13" s="1"/>
  <c r="H548" i="13"/>
  <c r="M548" i="13" s="1"/>
  <c r="H572" i="13"/>
  <c r="H580" i="13"/>
  <c r="H560" i="13"/>
  <c r="H573" i="13"/>
  <c r="H588" i="13"/>
  <c r="H570" i="13"/>
  <c r="H578" i="13"/>
  <c r="H543" i="13"/>
  <c r="M543" i="13" s="1"/>
  <c r="H556" i="13"/>
  <c r="H574" i="13"/>
  <c r="H539" i="13"/>
  <c r="M539" i="13" s="1"/>
  <c r="H540" i="13"/>
  <c r="M540" i="13" s="1"/>
  <c r="H581" i="13"/>
  <c r="H559" i="13"/>
  <c r="H550" i="13"/>
  <c r="H537" i="13"/>
  <c r="H545" i="13"/>
  <c r="M545" i="13" s="1"/>
  <c r="H558" i="13"/>
  <c r="H542" i="13"/>
  <c r="M542" i="13" s="1"/>
  <c r="H564" i="13"/>
  <c r="H538" i="13"/>
  <c r="M538" i="13" s="1"/>
  <c r="G468" i="20"/>
  <c r="G472" i="20"/>
  <c r="G484" i="20"/>
  <c r="G474" i="20"/>
  <c r="G481" i="20"/>
  <c r="G478" i="20"/>
  <c r="G496" i="20"/>
  <c r="G516" i="20"/>
  <c r="G483" i="20"/>
  <c r="G502" i="20"/>
  <c r="G515" i="20"/>
  <c r="G497" i="20"/>
  <c r="G475" i="20"/>
  <c r="G508" i="20"/>
  <c r="G499" i="20"/>
  <c r="G487" i="20"/>
  <c r="G489" i="20"/>
  <c r="G491" i="20"/>
  <c r="G500" i="20"/>
  <c r="G471" i="20"/>
  <c r="G517" i="20"/>
  <c r="G503" i="20"/>
  <c r="G501" i="20"/>
  <c r="G482" i="20"/>
  <c r="G509" i="20"/>
  <c r="G492" i="20"/>
  <c r="G477" i="20"/>
  <c r="G464" i="20"/>
  <c r="N446" i="20" s="1"/>
  <c r="G505" i="20"/>
  <c r="G510" i="20"/>
  <c r="G473" i="20"/>
  <c r="G467" i="20"/>
  <c r="G493" i="20"/>
  <c r="G518" i="20"/>
  <c r="G488" i="20"/>
  <c r="G490" i="20"/>
  <c r="G495" i="20"/>
  <c r="G470" i="20"/>
  <c r="G469" i="20"/>
  <c r="G485" i="20"/>
  <c r="G494" i="20"/>
  <c r="G476" i="20"/>
  <c r="G514" i="20"/>
  <c r="G462" i="20"/>
  <c r="G507" i="20"/>
  <c r="G512" i="20"/>
  <c r="G466" i="20"/>
  <c r="I455" i="20"/>
  <c r="G511" i="20"/>
  <c r="G465" i="20"/>
  <c r="G459" i="20"/>
  <c r="G463" i="20"/>
  <c r="G506" i="20"/>
  <c r="G504" i="20"/>
  <c r="G460" i="20"/>
  <c r="G480" i="20"/>
  <c r="G498" i="20"/>
  <c r="G513" i="20"/>
  <c r="G479" i="20"/>
  <c r="G486" i="20"/>
  <c r="G461" i="20"/>
  <c r="H903" i="13"/>
  <c r="H931" i="13"/>
  <c r="H918" i="13"/>
  <c r="H901" i="13"/>
  <c r="H943" i="13"/>
  <c r="H885" i="13"/>
  <c r="H925" i="13"/>
  <c r="H920" i="13"/>
  <c r="H887" i="13"/>
  <c r="M887" i="13" s="1"/>
  <c r="H927" i="13"/>
  <c r="H934" i="13"/>
  <c r="H923" i="13"/>
  <c r="H898" i="13"/>
  <c r="H908" i="13"/>
  <c r="H904" i="13"/>
  <c r="H896" i="13"/>
  <c r="H937" i="13"/>
  <c r="H917" i="13"/>
  <c r="H936" i="13"/>
  <c r="H919" i="13"/>
  <c r="H935" i="13"/>
  <c r="H916" i="13"/>
  <c r="H930" i="13"/>
  <c r="H910" i="13"/>
  <c r="H938" i="13"/>
  <c r="H911" i="13"/>
  <c r="H890" i="13"/>
  <c r="M890" i="13" s="1"/>
  <c r="H891" i="13"/>
  <c r="H941" i="13"/>
  <c r="H906" i="13"/>
  <c r="H929" i="13"/>
  <c r="H895" i="13"/>
  <c r="J881" i="13"/>
  <c r="H944" i="13"/>
  <c r="H892" i="13"/>
  <c r="M892" i="13" s="1"/>
  <c r="H889" i="13"/>
  <c r="M889" i="13" s="1"/>
  <c r="H902" i="13"/>
  <c r="H899" i="13"/>
  <c r="H915" i="13"/>
  <c r="H922" i="13"/>
  <c r="H900" i="13"/>
  <c r="H940" i="13"/>
  <c r="H897" i="13"/>
  <c r="H932" i="13"/>
  <c r="H939" i="13"/>
  <c r="H913" i="13"/>
  <c r="H933" i="13"/>
  <c r="H893" i="13"/>
  <c r="H886" i="13"/>
  <c r="M886" i="13" s="1"/>
  <c r="H924" i="13"/>
  <c r="H907" i="13"/>
  <c r="H921" i="13"/>
  <c r="H905" i="13"/>
  <c r="H894" i="13"/>
  <c r="H909" i="13"/>
  <c r="H928" i="13"/>
  <c r="H912" i="13"/>
  <c r="H888" i="13"/>
  <c r="M888" i="13" s="1"/>
  <c r="H914" i="13"/>
  <c r="H926" i="13"/>
  <c r="H942" i="13"/>
  <c r="H1144" i="13"/>
  <c r="M1144" i="13" s="1"/>
  <c r="H1153" i="13"/>
  <c r="H1161" i="13"/>
  <c r="H1169" i="13"/>
  <c r="H1177" i="13"/>
  <c r="H1187" i="13"/>
  <c r="H1195" i="13"/>
  <c r="H1148" i="13"/>
  <c r="H1145" i="13"/>
  <c r="H1154" i="13"/>
  <c r="H1162" i="13"/>
  <c r="H1170" i="13"/>
  <c r="H1178" i="13"/>
  <c r="H1188" i="13"/>
  <c r="H1196" i="13"/>
  <c r="H1182" i="13"/>
  <c r="H1146" i="13"/>
  <c r="M1146" i="13" s="1"/>
  <c r="H1155" i="13"/>
  <c r="H1163" i="13"/>
  <c r="H1171" i="13"/>
  <c r="H1179" i="13"/>
  <c r="H1189" i="13"/>
  <c r="H1197" i="13"/>
  <c r="H1183" i="13"/>
  <c r="H1147" i="13"/>
  <c r="M1147" i="13" s="1"/>
  <c r="H1156" i="13"/>
  <c r="H1164" i="13"/>
  <c r="H1172" i="13"/>
  <c r="H1180" i="13"/>
  <c r="H1190" i="13"/>
  <c r="H1198" i="13"/>
  <c r="H1149" i="13"/>
  <c r="H1157" i="13"/>
  <c r="H1165" i="13"/>
  <c r="H1173" i="13"/>
  <c r="H1181" i="13"/>
  <c r="H1191" i="13"/>
  <c r="H1199" i="13"/>
  <c r="H1160" i="13"/>
  <c r="H1185" i="13"/>
  <c r="J1139" i="13"/>
  <c r="H1166" i="13"/>
  <c r="H1186" i="13"/>
  <c r="H1143" i="13"/>
  <c r="M1143" i="13" s="1"/>
  <c r="H1167" i="13"/>
  <c r="H1192" i="13"/>
  <c r="H1150" i="13"/>
  <c r="H1168" i="13"/>
  <c r="H1193" i="13"/>
  <c r="H1152" i="13"/>
  <c r="H1175" i="13"/>
  <c r="H1200" i="13"/>
  <c r="H1194" i="13"/>
  <c r="H1202" i="13"/>
  <c r="H1159" i="13"/>
  <c r="H1151" i="13"/>
  <c r="H1201" i="13"/>
  <c r="H1158" i="13"/>
  <c r="H1174" i="13"/>
  <c r="H1176" i="13"/>
  <c r="H1184" i="13"/>
  <c r="H157" i="13"/>
  <c r="H138" i="13"/>
  <c r="H142" i="13"/>
  <c r="H113" i="13"/>
  <c r="M113" i="13" s="1"/>
  <c r="H107" i="13"/>
  <c r="M107" i="13" s="1"/>
  <c r="H155" i="13"/>
  <c r="H152" i="13"/>
  <c r="H146" i="13"/>
  <c r="H124" i="13"/>
  <c r="H123" i="13"/>
  <c r="H147" i="13"/>
  <c r="H126" i="13"/>
  <c r="H105" i="13"/>
  <c r="M105" i="13" s="1"/>
  <c r="H103" i="13"/>
  <c r="M103" i="13" s="1"/>
  <c r="H112" i="13"/>
  <c r="M112" i="13" s="1"/>
  <c r="H133" i="13"/>
  <c r="H154" i="13"/>
  <c r="H136" i="13"/>
  <c r="H143" i="13"/>
  <c r="H151" i="13"/>
  <c r="H145" i="13"/>
  <c r="H118" i="13"/>
  <c r="M118" i="13" s="1"/>
  <c r="H149" i="13"/>
  <c r="H110" i="13"/>
  <c r="M110" i="13" s="1"/>
  <c r="H137" i="13"/>
  <c r="H153" i="13"/>
  <c r="H128" i="13"/>
  <c r="H129" i="13"/>
  <c r="H144" i="13"/>
  <c r="H141" i="13"/>
  <c r="H132" i="13"/>
  <c r="H119" i="13"/>
  <c r="H121" i="13"/>
  <c r="H127" i="13"/>
  <c r="H114" i="13"/>
  <c r="M114" i="13" s="1"/>
  <c r="H116" i="13"/>
  <c r="M116" i="13" s="1"/>
  <c r="H108" i="13"/>
  <c r="M108" i="13" s="1"/>
  <c r="J98" i="13"/>
  <c r="H122" i="13"/>
  <c r="H156" i="13"/>
  <c r="H125" i="13"/>
  <c r="H135" i="13"/>
  <c r="H120" i="13"/>
  <c r="H109" i="13"/>
  <c r="M109" i="13" s="1"/>
  <c r="H159" i="13"/>
  <c r="H102" i="13"/>
  <c r="H111" i="13"/>
  <c r="M111" i="13" s="1"/>
  <c r="H158" i="13"/>
  <c r="H115" i="13"/>
  <c r="M115" i="13" s="1"/>
  <c r="H150" i="13"/>
  <c r="H106" i="13"/>
  <c r="M106" i="13" s="1"/>
  <c r="H130" i="13"/>
  <c r="H161" i="13"/>
  <c r="H117" i="13"/>
  <c r="H160" i="13"/>
  <c r="H134" i="13"/>
  <c r="H148" i="13"/>
  <c r="H131" i="13"/>
  <c r="H139" i="13"/>
  <c r="H104" i="13"/>
  <c r="M104" i="13" s="1"/>
  <c r="H140" i="13"/>
  <c r="G392" i="20"/>
  <c r="G412" i="20"/>
  <c r="G399" i="20"/>
  <c r="G411" i="20"/>
  <c r="G423" i="20"/>
  <c r="G380" i="20"/>
  <c r="G370" i="20"/>
  <c r="G388" i="20"/>
  <c r="G401" i="20"/>
  <c r="G413" i="20"/>
  <c r="G374" i="20"/>
  <c r="G398" i="20"/>
  <c r="G419" i="20"/>
  <c r="G417" i="20"/>
  <c r="G384" i="20"/>
  <c r="G407" i="20"/>
  <c r="G376" i="20"/>
  <c r="G416" i="20"/>
  <c r="G409" i="20"/>
  <c r="G375" i="20"/>
  <c r="G396" i="20"/>
  <c r="G408" i="20"/>
  <c r="G403" i="20"/>
  <c r="G387" i="20"/>
  <c r="G386" i="20"/>
  <c r="G371" i="20"/>
  <c r="G421" i="20"/>
  <c r="G425" i="20"/>
  <c r="G410" i="20"/>
  <c r="I366" i="20"/>
  <c r="G393" i="20"/>
  <c r="G426" i="20"/>
  <c r="G404" i="20"/>
  <c r="G372" i="20"/>
  <c r="N357" i="20" s="1"/>
  <c r="G422" i="20"/>
  <c r="G406" i="20"/>
  <c r="G382" i="20"/>
  <c r="G429" i="20"/>
  <c r="G402" i="20"/>
  <c r="G373" i="20"/>
  <c r="G428" i="20"/>
  <c r="G397" i="20"/>
  <c r="G383" i="20"/>
  <c r="G424" i="20"/>
  <c r="G389" i="20"/>
  <c r="G394" i="20"/>
  <c r="G377" i="20"/>
  <c r="G390" i="20"/>
  <c r="G418" i="20"/>
  <c r="G427" i="20"/>
  <c r="G391" i="20"/>
  <c r="G420" i="20"/>
  <c r="G400" i="20"/>
  <c r="G395" i="20"/>
  <c r="G379" i="20"/>
  <c r="G378" i="20"/>
  <c r="G415" i="20"/>
  <c r="G381" i="20"/>
  <c r="G405" i="20"/>
  <c r="G385" i="20"/>
  <c r="G414" i="20"/>
  <c r="H213" i="13"/>
  <c r="H245" i="13"/>
  <c r="H235" i="13"/>
  <c r="H194" i="13"/>
  <c r="M194" i="13" s="1"/>
  <c r="H215" i="13"/>
  <c r="H201" i="13"/>
  <c r="M201" i="13" s="1"/>
  <c r="H216" i="13"/>
  <c r="H237" i="13"/>
  <c r="H246" i="13"/>
  <c r="H205" i="13"/>
  <c r="H233" i="13"/>
  <c r="J185" i="13"/>
  <c r="H189" i="13"/>
  <c r="H203" i="13"/>
  <c r="H221" i="13"/>
  <c r="H211" i="13"/>
  <c r="H199" i="13"/>
  <c r="M199" i="13" s="1"/>
  <c r="H193" i="13"/>
  <c r="M193" i="13" s="1"/>
  <c r="H190" i="13"/>
  <c r="M190" i="13" s="1"/>
  <c r="H197" i="13"/>
  <c r="M197" i="13" s="1"/>
  <c r="H192" i="13"/>
  <c r="M192" i="13" s="1"/>
  <c r="H218" i="13"/>
  <c r="H241" i="13"/>
  <c r="H239" i="13"/>
  <c r="H219" i="13"/>
  <c r="H226" i="13"/>
  <c r="H212" i="13"/>
  <c r="H244" i="13"/>
  <c r="H217" i="13"/>
  <c r="H222" i="13"/>
  <c r="H196" i="13"/>
  <c r="M196" i="13" s="1"/>
  <c r="H191" i="13"/>
  <c r="M191" i="13" s="1"/>
  <c r="H198" i="13"/>
  <c r="M198" i="13" s="1"/>
  <c r="H225" i="13"/>
  <c r="H242" i="13"/>
  <c r="H204" i="13"/>
  <c r="H236" i="13"/>
  <c r="H208" i="13"/>
  <c r="H234" i="13"/>
  <c r="H210" i="13"/>
  <c r="H214" i="13"/>
  <c r="H247" i="13"/>
  <c r="H223" i="13"/>
  <c r="H206" i="13"/>
  <c r="H207" i="13"/>
  <c r="H202" i="13"/>
  <c r="H200" i="13"/>
  <c r="H209" i="13"/>
  <c r="H230" i="13"/>
  <c r="H238" i="13"/>
  <c r="H231" i="13"/>
  <c r="H195" i="13"/>
  <c r="M195" i="13" s="1"/>
  <c r="H227" i="13"/>
  <c r="H220" i="13"/>
  <c r="H232" i="13"/>
  <c r="H248" i="13"/>
  <c r="H240" i="13"/>
  <c r="H224" i="13"/>
  <c r="H243" i="13"/>
  <c r="H228" i="13"/>
  <c r="H229" i="13"/>
  <c r="H473" i="13"/>
  <c r="H502" i="13"/>
  <c r="H463" i="13"/>
  <c r="H467" i="13"/>
  <c r="H477" i="13"/>
  <c r="H481" i="13"/>
  <c r="H466" i="13"/>
  <c r="H482" i="13"/>
  <c r="H462" i="13"/>
  <c r="M462" i="13" s="1"/>
  <c r="H489" i="13"/>
  <c r="H498" i="13"/>
  <c r="H458" i="13"/>
  <c r="M458" i="13" s="1"/>
  <c r="H504" i="13"/>
  <c r="H471" i="13"/>
  <c r="H480" i="13"/>
  <c r="H486" i="13"/>
  <c r="H509" i="13"/>
  <c r="J446" i="13"/>
  <c r="H460" i="13"/>
  <c r="M460" i="13" s="1"/>
  <c r="H508" i="13"/>
  <c r="H464" i="13"/>
  <c r="H497" i="13"/>
  <c r="H493" i="13"/>
  <c r="H500" i="13"/>
  <c r="H454" i="13"/>
  <c r="M454" i="13" s="1"/>
  <c r="H465" i="13"/>
  <c r="H496" i="13"/>
  <c r="H499" i="13"/>
  <c r="H479" i="13"/>
  <c r="H494" i="13"/>
  <c r="H475" i="13"/>
  <c r="H483" i="13"/>
  <c r="H469" i="13"/>
  <c r="H470" i="13"/>
  <c r="H492" i="13"/>
  <c r="H453" i="13"/>
  <c r="M453" i="13" s="1"/>
  <c r="H507" i="13"/>
  <c r="H490" i="13"/>
  <c r="H487" i="13"/>
  <c r="H505" i="13"/>
  <c r="H472" i="13"/>
  <c r="H484" i="13"/>
  <c r="H488" i="13"/>
  <c r="H451" i="13"/>
  <c r="M451" i="13" s="1"/>
  <c r="H457" i="13"/>
  <c r="M457" i="13" s="1"/>
  <c r="H452" i="13"/>
  <c r="M452" i="13" s="1"/>
  <c r="H461" i="13"/>
  <c r="H485" i="13"/>
  <c r="H495" i="13"/>
  <c r="H503" i="13"/>
  <c r="H456" i="13"/>
  <c r="M456" i="13" s="1"/>
  <c r="H474" i="13"/>
  <c r="H476" i="13"/>
  <c r="H455" i="13"/>
  <c r="M455" i="13" s="1"/>
  <c r="H468" i="13"/>
  <c r="H478" i="13"/>
  <c r="H491" i="13"/>
  <c r="H459" i="13"/>
  <c r="M459" i="13" s="1"/>
  <c r="H506" i="13"/>
  <c r="H501" i="13"/>
  <c r="H450" i="13"/>
  <c r="G116" i="20"/>
  <c r="G106" i="20"/>
  <c r="G142" i="20"/>
  <c r="G126" i="20"/>
  <c r="G139" i="20"/>
  <c r="G120" i="20"/>
  <c r="G157" i="20"/>
  <c r="G151" i="20"/>
  <c r="G127" i="20"/>
  <c r="G122" i="20"/>
  <c r="G155" i="20"/>
  <c r="G130" i="20"/>
  <c r="G135" i="20"/>
  <c r="G121" i="20"/>
  <c r="G111" i="20"/>
  <c r="G118" i="20"/>
  <c r="G162" i="20"/>
  <c r="G108" i="20"/>
  <c r="G156" i="20"/>
  <c r="G158" i="20"/>
  <c r="G132" i="20"/>
  <c r="G143" i="20"/>
  <c r="I99" i="20"/>
  <c r="G125" i="20"/>
  <c r="G145" i="20"/>
  <c r="G124" i="20"/>
  <c r="G161" i="20"/>
  <c r="G154" i="20"/>
  <c r="G159" i="20"/>
  <c r="G129" i="20"/>
  <c r="G119" i="20"/>
  <c r="G150" i="20"/>
  <c r="G110" i="20"/>
  <c r="G144" i="20"/>
  <c r="G153" i="20"/>
  <c r="G123" i="20"/>
  <c r="G148" i="20"/>
  <c r="G107" i="20"/>
  <c r="G146" i="20"/>
  <c r="G115" i="20"/>
  <c r="G113" i="20"/>
  <c r="G152" i="20"/>
  <c r="G128" i="20"/>
  <c r="G134" i="20"/>
  <c r="G160" i="20"/>
  <c r="G136" i="20"/>
  <c r="G109" i="20"/>
  <c r="G141" i="20"/>
  <c r="G104" i="20"/>
  <c r="G149" i="20"/>
  <c r="G117" i="20"/>
  <c r="G103" i="20"/>
  <c r="G147" i="20"/>
  <c r="G131" i="20"/>
  <c r="G140" i="20"/>
  <c r="G137" i="20"/>
  <c r="G138" i="20"/>
  <c r="G112" i="20"/>
  <c r="N90" i="20" s="1"/>
  <c r="G105" i="20"/>
  <c r="G133" i="20"/>
  <c r="G114" i="20"/>
  <c r="G204" i="20"/>
  <c r="G242" i="20"/>
  <c r="G217" i="20"/>
  <c r="G229" i="20"/>
  <c r="G208" i="20"/>
  <c r="G199" i="20"/>
  <c r="G250" i="20"/>
  <c r="G195" i="20"/>
  <c r="G196" i="20"/>
  <c r="G251" i="20"/>
  <c r="G233" i="20"/>
  <c r="G234" i="20"/>
  <c r="G231" i="20"/>
  <c r="G216" i="20"/>
  <c r="G198" i="20"/>
  <c r="G193" i="20"/>
  <c r="G223" i="20"/>
  <c r="G245" i="20"/>
  <c r="G218" i="20"/>
  <c r="G215" i="20"/>
  <c r="G206" i="20"/>
  <c r="G219" i="20"/>
  <c r="G235" i="20"/>
  <c r="G226" i="20"/>
  <c r="G197" i="20"/>
  <c r="N179" i="20" s="1"/>
  <c r="I188" i="20"/>
  <c r="G227" i="20"/>
  <c r="G249" i="20"/>
  <c r="G239" i="20"/>
  <c r="G224" i="20"/>
  <c r="G205" i="20"/>
  <c r="G214" i="20"/>
  <c r="G241" i="20"/>
  <c r="G247" i="20"/>
  <c r="G228" i="20"/>
  <c r="G238" i="20"/>
  <c r="G209" i="20"/>
  <c r="G200" i="20"/>
  <c r="G203" i="20"/>
  <c r="G212" i="20"/>
  <c r="G236" i="20"/>
  <c r="G192" i="20"/>
  <c r="G248" i="20"/>
  <c r="G201" i="20"/>
  <c r="G225" i="20"/>
  <c r="G243" i="20"/>
  <c r="G213" i="20"/>
  <c r="G246" i="20"/>
  <c r="G244" i="20"/>
  <c r="G210" i="20"/>
  <c r="G211" i="20"/>
  <c r="G202" i="20"/>
  <c r="G207" i="20"/>
  <c r="G194" i="20"/>
  <c r="G220" i="20"/>
  <c r="G240" i="20"/>
  <c r="G222" i="20"/>
  <c r="G221" i="20"/>
  <c r="G232" i="20"/>
  <c r="G230" i="20"/>
  <c r="G237" i="20"/>
  <c r="H855" i="13"/>
  <c r="H851" i="13"/>
  <c r="H816" i="13"/>
  <c r="H826" i="13"/>
  <c r="J794" i="13"/>
  <c r="H849" i="13"/>
  <c r="H857" i="13"/>
  <c r="H823" i="13"/>
  <c r="H854" i="13"/>
  <c r="H824" i="13"/>
  <c r="H812" i="13"/>
  <c r="H798" i="13"/>
  <c r="H845" i="13"/>
  <c r="H852" i="13"/>
  <c r="H835" i="13"/>
  <c r="H814" i="13"/>
  <c r="H843" i="13"/>
  <c r="H853" i="13"/>
  <c r="H847" i="13"/>
  <c r="H848" i="13"/>
  <c r="H808" i="13"/>
  <c r="H813" i="13"/>
  <c r="H803" i="13"/>
  <c r="M803" i="13" s="1"/>
  <c r="H819" i="13"/>
  <c r="H844" i="13"/>
  <c r="H810" i="13"/>
  <c r="H806" i="13"/>
  <c r="M806" i="13" s="1"/>
  <c r="H807" i="13"/>
  <c r="H837" i="13"/>
  <c r="H832" i="13"/>
  <c r="H817" i="13"/>
  <c r="H825" i="13"/>
  <c r="H820" i="13"/>
  <c r="H805" i="13"/>
  <c r="H830" i="13"/>
  <c r="H799" i="13"/>
  <c r="H840" i="13"/>
  <c r="H815" i="13"/>
  <c r="H850" i="13"/>
  <c r="H829" i="13"/>
  <c r="H831" i="13"/>
  <c r="H839" i="13"/>
  <c r="H828" i="13"/>
  <c r="H822" i="13"/>
  <c r="H802" i="13"/>
  <c r="M802" i="13" s="1"/>
  <c r="H809" i="13"/>
  <c r="H842" i="13"/>
  <c r="H841" i="13"/>
  <c r="H821" i="13"/>
  <c r="H836" i="13"/>
  <c r="H833" i="13"/>
  <c r="H834" i="13"/>
  <c r="H818" i="13"/>
  <c r="H801" i="13"/>
  <c r="M801" i="13" s="1"/>
  <c r="H804" i="13"/>
  <c r="M804" i="13" s="1"/>
  <c r="H811" i="13"/>
  <c r="H846" i="13"/>
  <c r="H800" i="13"/>
  <c r="M800" i="13" s="1"/>
  <c r="H856" i="13"/>
  <c r="H827" i="13"/>
  <c r="H838" i="13"/>
  <c r="H1017" i="13"/>
  <c r="H1004" i="13"/>
  <c r="H993" i="13"/>
  <c r="H1002" i="13"/>
  <c r="H980" i="13"/>
  <c r="H1030" i="13"/>
  <c r="H982" i="13"/>
  <c r="H1014" i="13"/>
  <c r="H1025" i="13"/>
  <c r="H986" i="13"/>
  <c r="H1023" i="13"/>
  <c r="H973" i="13"/>
  <c r="H988" i="13"/>
  <c r="H999" i="13"/>
  <c r="H997" i="13"/>
  <c r="H979" i="13"/>
  <c r="H977" i="13"/>
  <c r="H974" i="13"/>
  <c r="M974" i="13" s="1"/>
  <c r="H994" i="13"/>
  <c r="H1015" i="13"/>
  <c r="H1010" i="13"/>
  <c r="H1022" i="13"/>
  <c r="H972" i="13"/>
  <c r="M972" i="13" s="1"/>
  <c r="J967" i="13"/>
  <c r="H996" i="13"/>
  <c r="H978" i="13"/>
  <c r="H984" i="13"/>
  <c r="H1026" i="13"/>
  <c r="H1016" i="13"/>
  <c r="H976" i="13"/>
  <c r="H991" i="13"/>
  <c r="H985" i="13"/>
  <c r="H1018" i="13"/>
  <c r="H990" i="13"/>
  <c r="H989" i="13"/>
  <c r="H1013" i="13"/>
  <c r="H1000" i="13"/>
  <c r="H983" i="13"/>
  <c r="H1028" i="13"/>
  <c r="H995" i="13"/>
  <c r="H998" i="13"/>
  <c r="H1006" i="13"/>
  <c r="H1012" i="13"/>
  <c r="H1009" i="13"/>
  <c r="H1003" i="13"/>
  <c r="H1029" i="13"/>
  <c r="H1019" i="13"/>
  <c r="H987" i="13"/>
  <c r="H975" i="13"/>
  <c r="M975" i="13" s="1"/>
  <c r="P975" i="13" s="1"/>
  <c r="H992" i="13"/>
  <c r="H971" i="13"/>
  <c r="H1020" i="13"/>
  <c r="H1001" i="13"/>
  <c r="H1008" i="13"/>
  <c r="H1027" i="13"/>
  <c r="H1011" i="13"/>
  <c r="H981" i="13"/>
  <c r="H1005" i="13"/>
  <c r="H1024" i="13"/>
  <c r="H1021" i="13"/>
  <c r="H1007" i="13"/>
  <c r="G689" i="20"/>
  <c r="G661" i="20"/>
  <c r="G641" i="20"/>
  <c r="I633" i="20"/>
  <c r="G693" i="20"/>
  <c r="G670" i="20"/>
  <c r="G654" i="20"/>
  <c r="G677" i="20"/>
  <c r="G685" i="20"/>
  <c r="G679" i="20"/>
  <c r="G666" i="20"/>
  <c r="G678" i="20"/>
  <c r="G652" i="20"/>
  <c r="G645" i="20"/>
  <c r="G675" i="20"/>
  <c r="G647" i="20"/>
  <c r="G639" i="20"/>
  <c r="N624" i="20" s="1"/>
  <c r="G656" i="20"/>
  <c r="G692" i="20"/>
  <c r="G684" i="20"/>
  <c r="G649" i="20"/>
  <c r="G648" i="20"/>
  <c r="G694" i="20"/>
  <c r="G644" i="20"/>
  <c r="G659" i="20"/>
  <c r="G669" i="20"/>
  <c r="G637" i="20"/>
  <c r="G651" i="20"/>
  <c r="G665" i="20"/>
  <c r="G655" i="20"/>
  <c r="G642" i="20"/>
  <c r="G696" i="20"/>
  <c r="G660" i="20"/>
  <c r="G667" i="20"/>
  <c r="G676" i="20"/>
  <c r="G653" i="20"/>
  <c r="G695" i="20"/>
  <c r="G672" i="20"/>
  <c r="G664" i="20"/>
  <c r="G687" i="20"/>
  <c r="G686" i="20"/>
  <c r="G688" i="20"/>
  <c r="G658" i="20"/>
  <c r="G674" i="20"/>
  <c r="G638" i="20"/>
  <c r="G683" i="20"/>
  <c r="G673" i="20"/>
  <c r="G682" i="20"/>
  <c r="G690" i="20"/>
  <c r="G681" i="20"/>
  <c r="G663" i="20"/>
  <c r="G680" i="20"/>
  <c r="G650" i="20"/>
  <c r="G662" i="20"/>
  <c r="G657" i="20"/>
  <c r="G668" i="20"/>
  <c r="G643" i="20"/>
  <c r="G671" i="20"/>
  <c r="G691" i="20"/>
  <c r="G640" i="20"/>
  <c r="G646" i="20"/>
  <c r="J1053" i="13"/>
  <c r="H1066" i="13"/>
  <c r="H1074" i="13"/>
  <c r="H1082" i="13"/>
  <c r="H1090" i="13"/>
  <c r="H1098" i="13"/>
  <c r="H1106" i="13"/>
  <c r="H1114" i="13"/>
  <c r="H1058" i="13"/>
  <c r="M1058" i="13" s="1"/>
  <c r="H1067" i="13"/>
  <c r="H1075" i="13"/>
  <c r="H1083" i="13"/>
  <c r="H1091" i="13"/>
  <c r="H1099" i="13"/>
  <c r="H1107" i="13"/>
  <c r="H1115" i="13"/>
  <c r="H1059" i="13"/>
  <c r="H1068" i="13"/>
  <c r="H1076" i="13"/>
  <c r="H1084" i="13"/>
  <c r="H1092" i="13"/>
  <c r="H1100" i="13"/>
  <c r="H1108" i="13"/>
  <c r="H1057" i="13"/>
  <c r="M1057" i="13" s="1"/>
  <c r="H1061" i="13"/>
  <c r="H1069" i="13"/>
  <c r="H1077" i="13"/>
  <c r="H1085" i="13"/>
  <c r="H1093" i="13"/>
  <c r="H1101" i="13"/>
  <c r="H1109" i="13"/>
  <c r="H1060" i="13"/>
  <c r="H1062" i="13"/>
  <c r="H1070" i="13"/>
  <c r="H1078" i="13"/>
  <c r="H1086" i="13"/>
  <c r="H1094" i="13"/>
  <c r="H1102" i="13"/>
  <c r="H1110" i="13"/>
  <c r="H1116" i="13"/>
  <c r="H1073" i="13"/>
  <c r="H1096" i="13"/>
  <c r="H1079" i="13"/>
  <c r="H1097" i="13"/>
  <c r="H1080" i="13"/>
  <c r="H1103" i="13"/>
  <c r="H1063" i="13"/>
  <c r="H1081" i="13"/>
  <c r="H1104" i="13"/>
  <c r="H1065" i="13"/>
  <c r="H1088" i="13"/>
  <c r="H1111" i="13"/>
  <c r="H1112" i="13"/>
  <c r="H1064" i="13"/>
  <c r="H1113" i="13"/>
  <c r="H1105" i="13"/>
  <c r="H1071" i="13"/>
  <c r="H1087" i="13"/>
  <c r="H1072" i="13"/>
  <c r="H1089" i="13"/>
  <c r="H1095" i="13"/>
  <c r="H392" i="13"/>
  <c r="H374" i="13"/>
  <c r="H402" i="13"/>
  <c r="H373" i="13"/>
  <c r="H389" i="13"/>
  <c r="H393" i="13"/>
  <c r="H418" i="13"/>
  <c r="H405" i="13"/>
  <c r="H415" i="13"/>
  <c r="H395" i="13"/>
  <c r="H398" i="13"/>
  <c r="H386" i="13"/>
  <c r="H414" i="13"/>
  <c r="H365" i="13"/>
  <c r="M365" i="13" s="1"/>
  <c r="H371" i="13"/>
  <c r="H399" i="13"/>
  <c r="H368" i="13"/>
  <c r="M368" i="13" s="1"/>
  <c r="H391" i="13"/>
  <c r="H412" i="13"/>
  <c r="H409" i="13"/>
  <c r="H411" i="13"/>
  <c r="H419" i="13"/>
  <c r="H376" i="13"/>
  <c r="H387" i="13"/>
  <c r="H381" i="13"/>
  <c r="H417" i="13"/>
  <c r="H364" i="13"/>
  <c r="M364" i="13" s="1"/>
  <c r="H416" i="13"/>
  <c r="H422" i="13"/>
  <c r="H377" i="13"/>
  <c r="H372" i="13"/>
  <c r="M372" i="13" s="1"/>
  <c r="H413" i="13"/>
  <c r="H401" i="13"/>
  <c r="H404" i="13"/>
  <c r="H367" i="13"/>
  <c r="M367" i="13" s="1"/>
  <c r="H385" i="13"/>
  <c r="H421" i="13"/>
  <c r="H366" i="13"/>
  <c r="M366" i="13" s="1"/>
  <c r="J359" i="13"/>
  <c r="H375" i="13"/>
  <c r="H382" i="13"/>
  <c r="H379" i="13"/>
  <c r="H420" i="13"/>
  <c r="H388" i="13"/>
  <c r="H394" i="13"/>
  <c r="H400" i="13"/>
  <c r="H369" i="13"/>
  <c r="M369" i="13" s="1"/>
  <c r="H363" i="13"/>
  <c r="H406" i="13"/>
  <c r="H383" i="13"/>
  <c r="H403" i="13"/>
  <c r="H370" i="13"/>
  <c r="M370" i="13" s="1"/>
  <c r="H397" i="13"/>
  <c r="H390" i="13"/>
  <c r="H384" i="13"/>
  <c r="H410" i="13"/>
  <c r="H408" i="13"/>
  <c r="H396" i="13"/>
  <c r="H380" i="13"/>
  <c r="H378" i="13"/>
  <c r="H407" i="13"/>
  <c r="M1046" i="13" l="1"/>
  <c r="M1047" i="13" s="1"/>
  <c r="H1117" i="13"/>
  <c r="I1064" i="13"/>
  <c r="J1064" i="13" s="1"/>
  <c r="I1072" i="13"/>
  <c r="J1072" i="13" s="1"/>
  <c r="I1080" i="13"/>
  <c r="J1080" i="13" s="1"/>
  <c r="I1088" i="13"/>
  <c r="J1088" i="13" s="1"/>
  <c r="I1096" i="13"/>
  <c r="J1096" i="13" s="1"/>
  <c r="I1104" i="13"/>
  <c r="J1104" i="13" s="1"/>
  <c r="I1112" i="13"/>
  <c r="J1112" i="13" s="1"/>
  <c r="I1057" i="13"/>
  <c r="O1057" i="13" s="1"/>
  <c r="P1057" i="13" s="1"/>
  <c r="I1065" i="13"/>
  <c r="J1065" i="13" s="1"/>
  <c r="I1073" i="13"/>
  <c r="J1073" i="13" s="1"/>
  <c r="I1081" i="13"/>
  <c r="J1081" i="13" s="1"/>
  <c r="I1089" i="13"/>
  <c r="J1089" i="13" s="1"/>
  <c r="I1097" i="13"/>
  <c r="J1097" i="13" s="1"/>
  <c r="I1105" i="13"/>
  <c r="J1105" i="13" s="1"/>
  <c r="I1113" i="13"/>
  <c r="J1113" i="13" s="1"/>
  <c r="I1058" i="13"/>
  <c r="I1066" i="13"/>
  <c r="J1066" i="13" s="1"/>
  <c r="I1074" i="13"/>
  <c r="J1074" i="13" s="1"/>
  <c r="I1082" i="13"/>
  <c r="J1082" i="13" s="1"/>
  <c r="I1090" i="13"/>
  <c r="J1090" i="13" s="1"/>
  <c r="I1098" i="13"/>
  <c r="J1098" i="13" s="1"/>
  <c r="I1106" i="13"/>
  <c r="J1106" i="13" s="1"/>
  <c r="I1114" i="13"/>
  <c r="J1114" i="13" s="1"/>
  <c r="I1059" i="13"/>
  <c r="J1059" i="13" s="1"/>
  <c r="I1067" i="13"/>
  <c r="J1067" i="13" s="1"/>
  <c r="I1075" i="13"/>
  <c r="J1075" i="13" s="1"/>
  <c r="I1083" i="13"/>
  <c r="J1083" i="13" s="1"/>
  <c r="I1091" i="13"/>
  <c r="J1091" i="13" s="1"/>
  <c r="I1099" i="13"/>
  <c r="J1099" i="13" s="1"/>
  <c r="I1107" i="13"/>
  <c r="J1107" i="13" s="1"/>
  <c r="I1115" i="13"/>
  <c r="J1115" i="13" s="1"/>
  <c r="I1061" i="13"/>
  <c r="J1061" i="13" s="1"/>
  <c r="I1069" i="13"/>
  <c r="J1069" i="13" s="1"/>
  <c r="I1077" i="13"/>
  <c r="J1077" i="13" s="1"/>
  <c r="I1085" i="13"/>
  <c r="J1085" i="13" s="1"/>
  <c r="I1093" i="13"/>
  <c r="J1093" i="13" s="1"/>
  <c r="I1101" i="13"/>
  <c r="J1101" i="13" s="1"/>
  <c r="I1109" i="13"/>
  <c r="J1109" i="13" s="1"/>
  <c r="I1068" i="13"/>
  <c r="J1068" i="13" s="1"/>
  <c r="I1087" i="13"/>
  <c r="J1087" i="13" s="1"/>
  <c r="I1110" i="13"/>
  <c r="J1110" i="13" s="1"/>
  <c r="I1070" i="13"/>
  <c r="J1070" i="13" s="1"/>
  <c r="I1092" i="13"/>
  <c r="J1092" i="13" s="1"/>
  <c r="I1111" i="13"/>
  <c r="J1111" i="13" s="1"/>
  <c r="I1078" i="13"/>
  <c r="J1078" i="13" s="1"/>
  <c r="I1100" i="13"/>
  <c r="J1100" i="13" s="1"/>
  <c r="I1071" i="13"/>
  <c r="J1071" i="13" s="1"/>
  <c r="I1094" i="13"/>
  <c r="J1094" i="13" s="1"/>
  <c r="I1116" i="13"/>
  <c r="J1116" i="13" s="1"/>
  <c r="I1076" i="13"/>
  <c r="J1076" i="13" s="1"/>
  <c r="I1095" i="13"/>
  <c r="J1095" i="13" s="1"/>
  <c r="I1060" i="13"/>
  <c r="J1060" i="13" s="1"/>
  <c r="I1079" i="13"/>
  <c r="J1079" i="13" s="1"/>
  <c r="I1102" i="13"/>
  <c r="J1102" i="13" s="1"/>
  <c r="I1062" i="13"/>
  <c r="J1062" i="13" s="1"/>
  <c r="I1084" i="13"/>
  <c r="J1084" i="13" s="1"/>
  <c r="I1103" i="13"/>
  <c r="J1103" i="13" s="1"/>
  <c r="I1063" i="13"/>
  <c r="J1063" i="13" s="1"/>
  <c r="I1086" i="13"/>
  <c r="J1086" i="13" s="1"/>
  <c r="I1108" i="13"/>
  <c r="J1108" i="13" s="1"/>
  <c r="H1031" i="13"/>
  <c r="M26" i="20"/>
  <c r="M461" i="13"/>
  <c r="M439" i="13"/>
  <c r="M440" i="13" s="1"/>
  <c r="I190" i="13"/>
  <c r="I213" i="13"/>
  <c r="J213" i="13" s="1"/>
  <c r="I222" i="13"/>
  <c r="J222" i="13" s="1"/>
  <c r="I209" i="13"/>
  <c r="J209" i="13" s="1"/>
  <c r="I225" i="13"/>
  <c r="J225" i="13" s="1"/>
  <c r="I201" i="13"/>
  <c r="I202" i="13"/>
  <c r="J202" i="13" s="1"/>
  <c r="I207" i="13"/>
  <c r="J207" i="13" s="1"/>
  <c r="I238" i="13"/>
  <c r="J238" i="13" s="1"/>
  <c r="I191" i="13"/>
  <c r="I210" i="13"/>
  <c r="J210" i="13" s="1"/>
  <c r="I203" i="13"/>
  <c r="J203" i="13" s="1"/>
  <c r="I235" i="13"/>
  <c r="J235" i="13" s="1"/>
  <c r="I218" i="13"/>
  <c r="J218" i="13" s="1"/>
  <c r="I236" i="13"/>
  <c r="J236" i="13" s="1"/>
  <c r="I223" i="13"/>
  <c r="J223" i="13" s="1"/>
  <c r="I216" i="13"/>
  <c r="J216" i="13" s="1"/>
  <c r="I239" i="13"/>
  <c r="J239" i="13" s="1"/>
  <c r="I215" i="13"/>
  <c r="J215" i="13" s="1"/>
  <c r="I229" i="13"/>
  <c r="J229" i="13" s="1"/>
  <c r="I211" i="13"/>
  <c r="J211" i="13" s="1"/>
  <c r="I226" i="13"/>
  <c r="J226" i="13" s="1"/>
  <c r="I217" i="13"/>
  <c r="J217" i="13" s="1"/>
  <c r="I200" i="13"/>
  <c r="I205" i="13"/>
  <c r="J205" i="13" s="1"/>
  <c r="I230" i="13"/>
  <c r="J230" i="13" s="1"/>
  <c r="I221" i="13"/>
  <c r="J221" i="13" s="1"/>
  <c r="I240" i="13"/>
  <c r="J240" i="13" s="1"/>
  <c r="I248" i="13"/>
  <c r="J248" i="13" s="1"/>
  <c r="I245" i="13"/>
  <c r="J245" i="13" s="1"/>
  <c r="I193" i="13"/>
  <c r="I194" i="13"/>
  <c r="I232" i="13"/>
  <c r="J232" i="13" s="1"/>
  <c r="I199" i="13"/>
  <c r="I237" i="13"/>
  <c r="J237" i="13" s="1"/>
  <c r="I224" i="13"/>
  <c r="J224" i="13" s="1"/>
  <c r="I242" i="13"/>
  <c r="J242" i="13" s="1"/>
  <c r="I208" i="13"/>
  <c r="J208" i="13" s="1"/>
  <c r="I233" i="13"/>
  <c r="J233" i="13" s="1"/>
  <c r="I244" i="13"/>
  <c r="J244" i="13" s="1"/>
  <c r="I227" i="13"/>
  <c r="J227" i="13" s="1"/>
  <c r="I212" i="13"/>
  <c r="J212" i="13" s="1"/>
  <c r="I234" i="13"/>
  <c r="J234" i="13" s="1"/>
  <c r="I206" i="13"/>
  <c r="J206" i="13" s="1"/>
  <c r="I247" i="13"/>
  <c r="J247" i="13" s="1"/>
  <c r="I214" i="13"/>
  <c r="J214" i="13" s="1"/>
  <c r="I228" i="13"/>
  <c r="J228" i="13" s="1"/>
  <c r="I196" i="13"/>
  <c r="I195" i="13"/>
  <c r="I198" i="13"/>
  <c r="I219" i="13"/>
  <c r="J219" i="13" s="1"/>
  <c r="I204" i="13"/>
  <c r="J204" i="13" s="1"/>
  <c r="I243" i="13"/>
  <c r="J243" i="13" s="1"/>
  <c r="I241" i="13"/>
  <c r="J241" i="13" s="1"/>
  <c r="I246" i="13"/>
  <c r="J246" i="13" s="1"/>
  <c r="I192" i="13"/>
  <c r="I220" i="13"/>
  <c r="J220" i="13" s="1"/>
  <c r="I197" i="13"/>
  <c r="I189" i="13"/>
  <c r="I231" i="13"/>
  <c r="J231" i="13" s="1"/>
  <c r="M117" i="13"/>
  <c r="M91" i="13"/>
  <c r="H162" i="13"/>
  <c r="I108" i="13"/>
  <c r="I143" i="13"/>
  <c r="J143" i="13" s="1"/>
  <c r="I112" i="13"/>
  <c r="I152" i="13"/>
  <c r="J152" i="13" s="1"/>
  <c r="I111" i="13"/>
  <c r="I149" i="13"/>
  <c r="J149" i="13" s="1"/>
  <c r="I158" i="13"/>
  <c r="J158" i="13" s="1"/>
  <c r="I123" i="13"/>
  <c r="J123" i="13" s="1"/>
  <c r="I141" i="13"/>
  <c r="J141" i="13" s="1"/>
  <c r="I151" i="13"/>
  <c r="J151" i="13" s="1"/>
  <c r="I105" i="13"/>
  <c r="I109" i="13"/>
  <c r="I131" i="13"/>
  <c r="J131" i="13" s="1"/>
  <c r="I144" i="13"/>
  <c r="J144" i="13" s="1"/>
  <c r="I135" i="13"/>
  <c r="J135" i="13" s="1"/>
  <c r="I137" i="13"/>
  <c r="J137" i="13" s="1"/>
  <c r="I129" i="13"/>
  <c r="J129" i="13" s="1"/>
  <c r="I154" i="13"/>
  <c r="J154" i="13" s="1"/>
  <c r="I119" i="13"/>
  <c r="J119" i="13" s="1"/>
  <c r="I116" i="13"/>
  <c r="I110" i="13"/>
  <c r="I136" i="13"/>
  <c r="J136" i="13" s="1"/>
  <c r="I139" i="13"/>
  <c r="J139" i="13" s="1"/>
  <c r="I155" i="13"/>
  <c r="J155" i="13" s="1"/>
  <c r="I142" i="13"/>
  <c r="J142" i="13" s="1"/>
  <c r="I121" i="13"/>
  <c r="J121" i="13" s="1"/>
  <c r="I156" i="13"/>
  <c r="J156" i="13" s="1"/>
  <c r="I145" i="13"/>
  <c r="J145" i="13" s="1"/>
  <c r="I127" i="13"/>
  <c r="J127" i="13" s="1"/>
  <c r="I159" i="13"/>
  <c r="J159" i="13" s="1"/>
  <c r="I126" i="13"/>
  <c r="J126" i="13" s="1"/>
  <c r="I103" i="13"/>
  <c r="I161" i="13"/>
  <c r="J161" i="13" s="1"/>
  <c r="I130" i="13"/>
  <c r="J130" i="13" s="1"/>
  <c r="I113" i="13"/>
  <c r="I148" i="13"/>
  <c r="J148" i="13" s="1"/>
  <c r="I128" i="13"/>
  <c r="J128" i="13" s="1"/>
  <c r="I125" i="13"/>
  <c r="J125" i="13" s="1"/>
  <c r="I106" i="13"/>
  <c r="I132" i="13"/>
  <c r="J132" i="13" s="1"/>
  <c r="I118" i="13"/>
  <c r="I102" i="13"/>
  <c r="I117" i="13"/>
  <c r="I107" i="13"/>
  <c r="I146" i="13"/>
  <c r="J146" i="13" s="1"/>
  <c r="I104" i="13"/>
  <c r="I124" i="13"/>
  <c r="J124" i="13" s="1"/>
  <c r="I140" i="13"/>
  <c r="J140" i="13" s="1"/>
  <c r="I114" i="13"/>
  <c r="I150" i="13"/>
  <c r="J150" i="13" s="1"/>
  <c r="I138" i="13"/>
  <c r="J138" i="13" s="1"/>
  <c r="I160" i="13"/>
  <c r="J160" i="13" s="1"/>
  <c r="I157" i="13"/>
  <c r="J157" i="13" s="1"/>
  <c r="I115" i="13"/>
  <c r="I147" i="13"/>
  <c r="J147" i="13" s="1"/>
  <c r="I153" i="13"/>
  <c r="J153" i="13" s="1"/>
  <c r="I120" i="13"/>
  <c r="J120" i="13" s="1"/>
  <c r="I133" i="13"/>
  <c r="J133" i="13" s="1"/>
  <c r="I122" i="13"/>
  <c r="J122" i="13" s="1"/>
  <c r="I134" i="13"/>
  <c r="J134" i="13" s="1"/>
  <c r="M711" i="13"/>
  <c r="H771" i="13"/>
  <c r="H682" i="20"/>
  <c r="I682" i="20" s="1"/>
  <c r="H637" i="20"/>
  <c r="H654" i="20"/>
  <c r="I654" i="20" s="1"/>
  <c r="H683" i="20"/>
  <c r="I683" i="20" s="1"/>
  <c r="H691" i="20"/>
  <c r="I691" i="20" s="1"/>
  <c r="H688" i="20"/>
  <c r="I688" i="20" s="1"/>
  <c r="H655" i="20"/>
  <c r="I655" i="20" s="1"/>
  <c r="H664" i="20"/>
  <c r="I664" i="20" s="1"/>
  <c r="H670" i="20"/>
  <c r="I670" i="20" s="1"/>
  <c r="H661" i="20"/>
  <c r="I661" i="20" s="1"/>
  <c r="H676" i="20"/>
  <c r="I676" i="20" s="1"/>
  <c r="H669" i="20"/>
  <c r="I669" i="20" s="1"/>
  <c r="H672" i="20"/>
  <c r="I672" i="20" s="1"/>
  <c r="H677" i="20"/>
  <c r="I677" i="20" s="1"/>
  <c r="H693" i="20"/>
  <c r="I693" i="20" s="1"/>
  <c r="H649" i="20"/>
  <c r="I649" i="20" s="1"/>
  <c r="H690" i="20"/>
  <c r="I690" i="20" s="1"/>
  <c r="H668" i="20"/>
  <c r="I668" i="20" s="1"/>
  <c r="H686" i="20"/>
  <c r="I686" i="20" s="1"/>
  <c r="H689" i="20"/>
  <c r="I689" i="20" s="1"/>
  <c r="H681" i="20"/>
  <c r="I681" i="20" s="1"/>
  <c r="H663" i="20"/>
  <c r="I663" i="20" s="1"/>
  <c r="H644" i="20"/>
  <c r="I644" i="20" s="1"/>
  <c r="H678" i="20"/>
  <c r="I678" i="20" s="1"/>
  <c r="H667" i="20"/>
  <c r="I667" i="20" s="1"/>
  <c r="H657" i="20"/>
  <c r="I657" i="20" s="1"/>
  <c r="H652" i="20"/>
  <c r="I652" i="20" s="1"/>
  <c r="H694" i="20"/>
  <c r="I694" i="20" s="1"/>
  <c r="H673" i="20"/>
  <c r="I673" i="20" s="1"/>
  <c r="H680" i="20"/>
  <c r="I680" i="20" s="1"/>
  <c r="H651" i="20"/>
  <c r="I651" i="20" s="1"/>
  <c r="H692" i="20"/>
  <c r="I692" i="20" s="1"/>
  <c r="H658" i="20"/>
  <c r="I658" i="20" s="1"/>
  <c r="H687" i="20"/>
  <c r="I687" i="20" s="1"/>
  <c r="H684" i="20"/>
  <c r="I684" i="20" s="1"/>
  <c r="H696" i="20"/>
  <c r="I696" i="20" s="1"/>
  <c r="H675" i="20"/>
  <c r="I675" i="20" s="1"/>
  <c r="H642" i="20"/>
  <c r="I642" i="20" s="1"/>
  <c r="H643" i="20"/>
  <c r="I643" i="20" s="1"/>
  <c r="H647" i="20"/>
  <c r="I647" i="20" s="1"/>
  <c r="H674" i="20"/>
  <c r="I674" i="20" s="1"/>
  <c r="H659" i="20"/>
  <c r="I659" i="20" s="1"/>
  <c r="H645" i="20"/>
  <c r="I645" i="20" s="1"/>
  <c r="H638" i="20"/>
  <c r="I638" i="20" s="1"/>
  <c r="H641" i="20"/>
  <c r="I641" i="20" s="1"/>
  <c r="H695" i="20"/>
  <c r="I695" i="20" s="1"/>
  <c r="H666" i="20"/>
  <c r="I666" i="20" s="1"/>
  <c r="H679" i="20"/>
  <c r="I679" i="20" s="1"/>
  <c r="H650" i="20"/>
  <c r="I650" i="20" s="1"/>
  <c r="H639" i="20"/>
  <c r="H685" i="20"/>
  <c r="I685" i="20" s="1"/>
  <c r="H653" i="20"/>
  <c r="I653" i="20" s="1"/>
  <c r="H646" i="20"/>
  <c r="I646" i="20" s="1"/>
  <c r="H662" i="20"/>
  <c r="I662" i="20" s="1"/>
  <c r="H656" i="20"/>
  <c r="I656" i="20" s="1"/>
  <c r="H648" i="20"/>
  <c r="I648" i="20" s="1"/>
  <c r="H665" i="20"/>
  <c r="I665" i="20" s="1"/>
  <c r="H640" i="20"/>
  <c r="I640" i="20" s="1"/>
  <c r="H671" i="20"/>
  <c r="I671" i="20" s="1"/>
  <c r="H660" i="20"/>
  <c r="I660" i="20" s="1"/>
  <c r="M450" i="13"/>
  <c r="H510" i="13"/>
  <c r="G430" i="20"/>
  <c r="I1148" i="13"/>
  <c r="J1148" i="13" s="1"/>
  <c r="I1158" i="13"/>
  <c r="J1158" i="13" s="1"/>
  <c r="I1166" i="13"/>
  <c r="J1166" i="13" s="1"/>
  <c r="I1174" i="13"/>
  <c r="J1174" i="13" s="1"/>
  <c r="I1182" i="13"/>
  <c r="J1182" i="13" s="1"/>
  <c r="I1190" i="13"/>
  <c r="J1190" i="13" s="1"/>
  <c r="I1198" i="13"/>
  <c r="J1198" i="13" s="1"/>
  <c r="I1149" i="13"/>
  <c r="J1149" i="13" s="1"/>
  <c r="I1150" i="13"/>
  <c r="J1150" i="13" s="1"/>
  <c r="I1159" i="13"/>
  <c r="J1159" i="13" s="1"/>
  <c r="I1167" i="13"/>
  <c r="J1167" i="13" s="1"/>
  <c r="I1175" i="13"/>
  <c r="J1175" i="13" s="1"/>
  <c r="I1183" i="13"/>
  <c r="J1183" i="13" s="1"/>
  <c r="I1191" i="13"/>
  <c r="J1191" i="13" s="1"/>
  <c r="I1199" i="13"/>
  <c r="J1199" i="13" s="1"/>
  <c r="I1153" i="13"/>
  <c r="J1153" i="13" s="1"/>
  <c r="I1151" i="13"/>
  <c r="J1151" i="13" s="1"/>
  <c r="I1160" i="13"/>
  <c r="J1160" i="13" s="1"/>
  <c r="I1168" i="13"/>
  <c r="J1168" i="13" s="1"/>
  <c r="I1176" i="13"/>
  <c r="J1176" i="13" s="1"/>
  <c r="I1184" i="13"/>
  <c r="J1184" i="13" s="1"/>
  <c r="I1192" i="13"/>
  <c r="J1192" i="13" s="1"/>
  <c r="I1200" i="13"/>
  <c r="J1200" i="13" s="1"/>
  <c r="I1152" i="13"/>
  <c r="J1152" i="13" s="1"/>
  <c r="I1161" i="13"/>
  <c r="J1161" i="13" s="1"/>
  <c r="I1169" i="13"/>
  <c r="J1169" i="13" s="1"/>
  <c r="I1177" i="13"/>
  <c r="J1177" i="13" s="1"/>
  <c r="I1185" i="13"/>
  <c r="J1185" i="13" s="1"/>
  <c r="I1193" i="13"/>
  <c r="J1193" i="13" s="1"/>
  <c r="I1202" i="13"/>
  <c r="J1202" i="13" s="1"/>
  <c r="I1155" i="13"/>
  <c r="J1155" i="13" s="1"/>
  <c r="I1163" i="13"/>
  <c r="J1163" i="13" s="1"/>
  <c r="I1171" i="13"/>
  <c r="J1171" i="13" s="1"/>
  <c r="I1179" i="13"/>
  <c r="J1179" i="13" s="1"/>
  <c r="I1187" i="13"/>
  <c r="J1187" i="13" s="1"/>
  <c r="I1195" i="13"/>
  <c r="J1195" i="13" s="1"/>
  <c r="I1144" i="13"/>
  <c r="I1162" i="13"/>
  <c r="J1162" i="13" s="1"/>
  <c r="I1181" i="13"/>
  <c r="J1181" i="13" s="1"/>
  <c r="I1145" i="13"/>
  <c r="J1145" i="13" s="1"/>
  <c r="I1201" i="13"/>
  <c r="J1201" i="13" s="1"/>
  <c r="I1164" i="13"/>
  <c r="J1164" i="13" s="1"/>
  <c r="I1186" i="13"/>
  <c r="J1186" i="13" s="1"/>
  <c r="I1146" i="13"/>
  <c r="I1172" i="13"/>
  <c r="J1172" i="13" s="1"/>
  <c r="I1165" i="13"/>
  <c r="J1165" i="13" s="1"/>
  <c r="I1188" i="13"/>
  <c r="J1188" i="13" s="1"/>
  <c r="I1194" i="13"/>
  <c r="J1194" i="13" s="1"/>
  <c r="I1180" i="13"/>
  <c r="J1180" i="13" s="1"/>
  <c r="I1143" i="13"/>
  <c r="O1143" i="13" s="1"/>
  <c r="P1143" i="13" s="1"/>
  <c r="I1170" i="13"/>
  <c r="J1170" i="13" s="1"/>
  <c r="I1189" i="13"/>
  <c r="J1189" i="13" s="1"/>
  <c r="I1147" i="13"/>
  <c r="I1154" i="13"/>
  <c r="J1154" i="13" s="1"/>
  <c r="I1173" i="13"/>
  <c r="J1173" i="13" s="1"/>
  <c r="I1196" i="13"/>
  <c r="J1196" i="13" s="1"/>
  <c r="I1156" i="13"/>
  <c r="J1156" i="13" s="1"/>
  <c r="I1178" i="13"/>
  <c r="J1178" i="13" s="1"/>
  <c r="I1197" i="13"/>
  <c r="J1197" i="13" s="1"/>
  <c r="I1157" i="13"/>
  <c r="J1157" i="13" s="1"/>
  <c r="H945" i="13"/>
  <c r="G519" i="20"/>
  <c r="H597" i="13"/>
  <c r="I673" i="13"/>
  <c r="J673" i="13" s="1"/>
  <c r="I633" i="13"/>
  <c r="I676" i="13"/>
  <c r="J676" i="13" s="1"/>
  <c r="I672" i="13"/>
  <c r="J672" i="13" s="1"/>
  <c r="I666" i="13"/>
  <c r="J666" i="13" s="1"/>
  <c r="I670" i="13"/>
  <c r="J670" i="13" s="1"/>
  <c r="I671" i="13"/>
  <c r="J671" i="13" s="1"/>
  <c r="I669" i="13"/>
  <c r="J669" i="13" s="1"/>
  <c r="I661" i="13"/>
  <c r="J661" i="13" s="1"/>
  <c r="I635" i="13"/>
  <c r="J635" i="13" s="1"/>
  <c r="I677" i="13"/>
  <c r="J677" i="13" s="1"/>
  <c r="I655" i="13"/>
  <c r="J655" i="13" s="1"/>
  <c r="I654" i="13"/>
  <c r="J654" i="13" s="1"/>
  <c r="I678" i="13"/>
  <c r="J678" i="13" s="1"/>
  <c r="I642" i="13"/>
  <c r="J642" i="13" s="1"/>
  <c r="I624" i="13"/>
  <c r="I647" i="13"/>
  <c r="J647" i="13" s="1"/>
  <c r="I667" i="13"/>
  <c r="J667" i="13" s="1"/>
  <c r="I683" i="13"/>
  <c r="J683" i="13" s="1"/>
  <c r="I664" i="13"/>
  <c r="J664" i="13" s="1"/>
  <c r="I653" i="13"/>
  <c r="J653" i="13" s="1"/>
  <c r="I631" i="13"/>
  <c r="I640" i="13"/>
  <c r="J640" i="13" s="1"/>
  <c r="I652" i="13"/>
  <c r="J652" i="13" s="1"/>
  <c r="I659" i="13"/>
  <c r="J659" i="13" s="1"/>
  <c r="I634" i="13"/>
  <c r="J634" i="13" s="1"/>
  <c r="I625" i="13"/>
  <c r="I629" i="13"/>
  <c r="I650" i="13"/>
  <c r="J650" i="13" s="1"/>
  <c r="I643" i="13"/>
  <c r="J643" i="13" s="1"/>
  <c r="I668" i="13"/>
  <c r="J668" i="13" s="1"/>
  <c r="I649" i="13"/>
  <c r="J649" i="13" s="1"/>
  <c r="I628" i="13"/>
  <c r="I660" i="13"/>
  <c r="J660" i="13" s="1"/>
  <c r="I627" i="13"/>
  <c r="I632" i="13"/>
  <c r="I656" i="13"/>
  <c r="J656" i="13" s="1"/>
  <c r="I680" i="13"/>
  <c r="J680" i="13" s="1"/>
  <c r="I651" i="13"/>
  <c r="J651" i="13" s="1"/>
  <c r="I663" i="13"/>
  <c r="J663" i="13" s="1"/>
  <c r="I644" i="13"/>
  <c r="J644" i="13" s="1"/>
  <c r="I682" i="13"/>
  <c r="J682" i="13" s="1"/>
  <c r="I662" i="13"/>
  <c r="J662" i="13" s="1"/>
  <c r="I641" i="13"/>
  <c r="J641" i="13" s="1"/>
  <c r="I630" i="13"/>
  <c r="I648" i="13"/>
  <c r="J648" i="13" s="1"/>
  <c r="I657" i="13"/>
  <c r="J657" i="13" s="1"/>
  <c r="I636" i="13"/>
  <c r="J636" i="13" s="1"/>
  <c r="I645" i="13"/>
  <c r="J645" i="13" s="1"/>
  <c r="I646" i="13"/>
  <c r="J646" i="13" s="1"/>
  <c r="I626" i="13"/>
  <c r="I639" i="13"/>
  <c r="J639" i="13" s="1"/>
  <c r="I658" i="13"/>
  <c r="J658" i="13" s="1"/>
  <c r="I679" i="13"/>
  <c r="J679" i="13" s="1"/>
  <c r="I637" i="13"/>
  <c r="J637" i="13" s="1"/>
  <c r="I638" i="13"/>
  <c r="J638" i="13" s="1"/>
  <c r="I674" i="13"/>
  <c r="J674" i="13" s="1"/>
  <c r="I665" i="13"/>
  <c r="J665" i="13" s="1"/>
  <c r="I681" i="13"/>
  <c r="J681" i="13" s="1"/>
  <c r="I675" i="13"/>
  <c r="J675" i="13" s="1"/>
  <c r="M624" i="13"/>
  <c r="H684" i="13"/>
  <c r="M632" i="13"/>
  <c r="M613" i="13"/>
  <c r="M614" i="13" s="1"/>
  <c r="G608" i="20"/>
  <c r="G697" i="20"/>
  <c r="I1028" i="13"/>
  <c r="J1028" i="13" s="1"/>
  <c r="I997" i="13"/>
  <c r="J997" i="13" s="1"/>
  <c r="I1021" i="13"/>
  <c r="J1021" i="13" s="1"/>
  <c r="I971" i="13"/>
  <c r="I974" i="13"/>
  <c r="I984" i="13"/>
  <c r="J984" i="13" s="1"/>
  <c r="I979" i="13"/>
  <c r="J979" i="13" s="1"/>
  <c r="I1006" i="13"/>
  <c r="J1006" i="13" s="1"/>
  <c r="I1014" i="13"/>
  <c r="J1014" i="13" s="1"/>
  <c r="I998" i="13"/>
  <c r="J998" i="13" s="1"/>
  <c r="I1000" i="13"/>
  <c r="J1000" i="13" s="1"/>
  <c r="I1024" i="13"/>
  <c r="J1024" i="13" s="1"/>
  <c r="I1027" i="13"/>
  <c r="J1027" i="13" s="1"/>
  <c r="I987" i="13"/>
  <c r="J987" i="13" s="1"/>
  <c r="I982" i="13"/>
  <c r="J982" i="13" s="1"/>
  <c r="I985" i="13"/>
  <c r="J985" i="13" s="1"/>
  <c r="I1001" i="13"/>
  <c r="J1001" i="13" s="1"/>
  <c r="I977" i="13"/>
  <c r="J977" i="13" s="1"/>
  <c r="I995" i="13"/>
  <c r="J995" i="13" s="1"/>
  <c r="I1019" i="13"/>
  <c r="J1019" i="13" s="1"/>
  <c r="I1030" i="13"/>
  <c r="J1030" i="13" s="1"/>
  <c r="I988" i="13"/>
  <c r="J988" i="13" s="1"/>
  <c r="I996" i="13"/>
  <c r="J996" i="13" s="1"/>
  <c r="I1004" i="13"/>
  <c r="J1004" i="13" s="1"/>
  <c r="I1020" i="13"/>
  <c r="J1020" i="13" s="1"/>
  <c r="I993" i="13"/>
  <c r="J993" i="13" s="1"/>
  <c r="I1022" i="13"/>
  <c r="J1022" i="13" s="1"/>
  <c r="I990" i="13"/>
  <c r="J990" i="13" s="1"/>
  <c r="I999" i="13"/>
  <c r="J999" i="13" s="1"/>
  <c r="I1007" i="13"/>
  <c r="J1007" i="13" s="1"/>
  <c r="I1015" i="13"/>
  <c r="J1015" i="13" s="1"/>
  <c r="I1017" i="13"/>
  <c r="J1017" i="13" s="1"/>
  <c r="I972" i="13"/>
  <c r="I983" i="13"/>
  <c r="J983" i="13" s="1"/>
  <c r="I1025" i="13"/>
  <c r="J1025" i="13" s="1"/>
  <c r="I989" i="13"/>
  <c r="J989" i="13" s="1"/>
  <c r="I1005" i="13"/>
  <c r="J1005" i="13" s="1"/>
  <c r="I1013" i="13"/>
  <c r="J1013" i="13" s="1"/>
  <c r="I1012" i="13"/>
  <c r="J1012" i="13" s="1"/>
  <c r="I1029" i="13"/>
  <c r="J1029" i="13" s="1"/>
  <c r="I992" i="13"/>
  <c r="J992" i="13" s="1"/>
  <c r="I1003" i="13"/>
  <c r="J1003" i="13" s="1"/>
  <c r="I1026" i="13"/>
  <c r="J1026" i="13" s="1"/>
  <c r="I991" i="13"/>
  <c r="J991" i="13" s="1"/>
  <c r="I976" i="13"/>
  <c r="J976" i="13" s="1"/>
  <c r="I975" i="13"/>
  <c r="J975" i="13" s="1"/>
  <c r="I978" i="13"/>
  <c r="J978" i="13" s="1"/>
  <c r="I994" i="13"/>
  <c r="J994" i="13" s="1"/>
  <c r="I1011" i="13"/>
  <c r="J1011" i="13" s="1"/>
  <c r="I986" i="13"/>
  <c r="J986" i="13" s="1"/>
  <c r="I1008" i="13"/>
  <c r="J1008" i="13" s="1"/>
  <c r="I1018" i="13"/>
  <c r="J1018" i="13" s="1"/>
  <c r="I1010" i="13"/>
  <c r="J1010" i="13" s="1"/>
  <c r="I973" i="13"/>
  <c r="I1002" i="13"/>
  <c r="J1002" i="13" s="1"/>
  <c r="I1023" i="13"/>
  <c r="J1023" i="13" s="1"/>
  <c r="I1009" i="13"/>
  <c r="J1009" i="13" s="1"/>
  <c r="I981" i="13"/>
  <c r="J981" i="13" s="1"/>
  <c r="I1016" i="13"/>
  <c r="J1016" i="13" s="1"/>
  <c r="I980" i="13"/>
  <c r="J980" i="13" s="1"/>
  <c r="I822" i="13"/>
  <c r="J822" i="13" s="1"/>
  <c r="I820" i="13"/>
  <c r="J820" i="13" s="1"/>
  <c r="I819" i="13"/>
  <c r="J819" i="13" s="1"/>
  <c r="I834" i="13"/>
  <c r="J834" i="13" s="1"/>
  <c r="I817" i="13"/>
  <c r="J817" i="13" s="1"/>
  <c r="I855" i="13"/>
  <c r="J855" i="13" s="1"/>
  <c r="I833" i="13"/>
  <c r="J833" i="13" s="1"/>
  <c r="I831" i="13"/>
  <c r="J831" i="13" s="1"/>
  <c r="I857" i="13"/>
  <c r="J857" i="13" s="1"/>
  <c r="I827" i="13"/>
  <c r="J827" i="13" s="1"/>
  <c r="I841" i="13"/>
  <c r="J841" i="13" s="1"/>
  <c r="I823" i="13"/>
  <c r="J823" i="13" s="1"/>
  <c r="I848" i="13"/>
  <c r="J848" i="13" s="1"/>
  <c r="I810" i="13"/>
  <c r="J810" i="13" s="1"/>
  <c r="I808" i="13"/>
  <c r="J808" i="13" s="1"/>
  <c r="I802" i="13"/>
  <c r="I851" i="13"/>
  <c r="J851" i="13" s="1"/>
  <c r="I828" i="13"/>
  <c r="J828" i="13" s="1"/>
  <c r="I814" i="13"/>
  <c r="J814" i="13" s="1"/>
  <c r="I825" i="13"/>
  <c r="J825" i="13" s="1"/>
  <c r="I804" i="13"/>
  <c r="I803" i="13"/>
  <c r="I818" i="13"/>
  <c r="J818" i="13" s="1"/>
  <c r="I843" i="13"/>
  <c r="J843" i="13" s="1"/>
  <c r="I806" i="13"/>
  <c r="I832" i="13"/>
  <c r="J832" i="13" s="1"/>
  <c r="I835" i="13"/>
  <c r="J835" i="13" s="1"/>
  <c r="I854" i="13"/>
  <c r="J854" i="13" s="1"/>
  <c r="I807" i="13"/>
  <c r="J807" i="13" s="1"/>
  <c r="I844" i="13"/>
  <c r="J844" i="13" s="1"/>
  <c r="I856" i="13"/>
  <c r="J856" i="13" s="1"/>
  <c r="I847" i="13"/>
  <c r="J847" i="13" s="1"/>
  <c r="I836" i="13"/>
  <c r="J836" i="13" s="1"/>
  <c r="I816" i="13"/>
  <c r="J816" i="13" s="1"/>
  <c r="I853" i="13"/>
  <c r="J853" i="13" s="1"/>
  <c r="I842" i="13"/>
  <c r="J842" i="13" s="1"/>
  <c r="I813" i="13"/>
  <c r="J813" i="13" s="1"/>
  <c r="I839" i="13"/>
  <c r="J839" i="13" s="1"/>
  <c r="I845" i="13"/>
  <c r="J845" i="13" s="1"/>
  <c r="I830" i="13"/>
  <c r="J830" i="13" s="1"/>
  <c r="I801" i="13"/>
  <c r="I812" i="13"/>
  <c r="J812" i="13" s="1"/>
  <c r="I837" i="13"/>
  <c r="J837" i="13" s="1"/>
  <c r="I840" i="13"/>
  <c r="J840" i="13" s="1"/>
  <c r="I821" i="13"/>
  <c r="J821" i="13" s="1"/>
  <c r="I846" i="13"/>
  <c r="J846" i="13" s="1"/>
  <c r="I824" i="13"/>
  <c r="J824" i="13" s="1"/>
  <c r="I829" i="13"/>
  <c r="J829" i="13" s="1"/>
  <c r="I838" i="13"/>
  <c r="J838" i="13" s="1"/>
  <c r="I805" i="13"/>
  <c r="I809" i="13"/>
  <c r="J809" i="13" s="1"/>
  <c r="I811" i="13"/>
  <c r="J811" i="13" s="1"/>
  <c r="I815" i="13"/>
  <c r="J815" i="13" s="1"/>
  <c r="I826" i="13"/>
  <c r="J826" i="13" s="1"/>
  <c r="I800" i="13"/>
  <c r="I798" i="13"/>
  <c r="I849" i="13"/>
  <c r="J849" i="13" s="1"/>
  <c r="I852" i="13"/>
  <c r="J852" i="13" s="1"/>
  <c r="I799" i="13"/>
  <c r="J799" i="13" s="1"/>
  <c r="I850" i="13"/>
  <c r="J850" i="13" s="1"/>
  <c r="G252" i="20"/>
  <c r="H199" i="20"/>
  <c r="I199" i="20" s="1"/>
  <c r="H202" i="20"/>
  <c r="I202" i="20" s="1"/>
  <c r="H193" i="20"/>
  <c r="I193" i="20" s="1"/>
  <c r="H243" i="20"/>
  <c r="I243" i="20" s="1"/>
  <c r="H246" i="20"/>
  <c r="I246" i="20" s="1"/>
  <c r="H242" i="20"/>
  <c r="I242" i="20" s="1"/>
  <c r="H209" i="20"/>
  <c r="I209" i="20" s="1"/>
  <c r="H205" i="20"/>
  <c r="I205" i="20" s="1"/>
  <c r="H196" i="20"/>
  <c r="I196" i="20" s="1"/>
  <c r="H207" i="20"/>
  <c r="I207" i="20" s="1"/>
  <c r="H210" i="20"/>
  <c r="I210" i="20" s="1"/>
  <c r="H215" i="20"/>
  <c r="I215" i="20" s="1"/>
  <c r="H227" i="20"/>
  <c r="I227" i="20" s="1"/>
  <c r="H213" i="20"/>
  <c r="I213" i="20" s="1"/>
  <c r="H239" i="20"/>
  <c r="I239" i="20" s="1"/>
  <c r="H232" i="20"/>
  <c r="I232" i="20" s="1"/>
  <c r="H228" i="20"/>
  <c r="I228" i="20" s="1"/>
  <c r="H218" i="20"/>
  <c r="I218" i="20" s="1"/>
  <c r="H244" i="20"/>
  <c r="I244" i="20" s="1"/>
  <c r="H219" i="20"/>
  <c r="I219" i="20" s="1"/>
  <c r="H225" i="20"/>
  <c r="I225" i="20" s="1"/>
  <c r="H245" i="20"/>
  <c r="I245" i="20" s="1"/>
  <c r="H224" i="20"/>
  <c r="I224" i="20" s="1"/>
  <c r="H208" i="20"/>
  <c r="I208" i="20" s="1"/>
  <c r="H234" i="20"/>
  <c r="I234" i="20" s="1"/>
  <c r="H223" i="20"/>
  <c r="I223" i="20" s="1"/>
  <c r="H192" i="20"/>
  <c r="H229" i="20"/>
  <c r="I229" i="20" s="1"/>
  <c r="H240" i="20"/>
  <c r="I240" i="20" s="1"/>
  <c r="H206" i="20"/>
  <c r="I206" i="20" s="1"/>
  <c r="H221" i="20"/>
  <c r="I221" i="20" s="1"/>
  <c r="H248" i="20"/>
  <c r="I248" i="20" s="1"/>
  <c r="H233" i="20"/>
  <c r="I233" i="20" s="1"/>
  <c r="H231" i="20"/>
  <c r="I231" i="20" s="1"/>
  <c r="H201" i="20"/>
  <c r="I201" i="20" s="1"/>
  <c r="H237" i="20"/>
  <c r="I237" i="20" s="1"/>
  <c r="H198" i="20"/>
  <c r="I198" i="20" s="1"/>
  <c r="H222" i="20"/>
  <c r="I222" i="20" s="1"/>
  <c r="H226" i="20"/>
  <c r="I226" i="20" s="1"/>
  <c r="H250" i="20"/>
  <c r="I250" i="20" s="1"/>
  <c r="H220" i="20"/>
  <c r="I220" i="20" s="1"/>
  <c r="H195" i="20"/>
  <c r="I195" i="20" s="1"/>
  <c r="H249" i="20"/>
  <c r="I249" i="20" s="1"/>
  <c r="H204" i="20"/>
  <c r="I204" i="20" s="1"/>
  <c r="H241" i="20"/>
  <c r="I241" i="20" s="1"/>
  <c r="H197" i="20"/>
  <c r="H212" i="20"/>
  <c r="I212" i="20" s="1"/>
  <c r="H194" i="20"/>
  <c r="I194" i="20" s="1"/>
  <c r="H247" i="20"/>
  <c r="I247" i="20" s="1"/>
  <c r="H217" i="20"/>
  <c r="I217" i="20" s="1"/>
  <c r="H203" i="20"/>
  <c r="I203" i="20" s="1"/>
  <c r="H230" i="20"/>
  <c r="I230" i="20" s="1"/>
  <c r="H235" i="20"/>
  <c r="I235" i="20" s="1"/>
  <c r="H214" i="20"/>
  <c r="I214" i="20" s="1"/>
  <c r="H211" i="20"/>
  <c r="I211" i="20" s="1"/>
  <c r="H216" i="20"/>
  <c r="I216" i="20" s="1"/>
  <c r="H236" i="20"/>
  <c r="I236" i="20" s="1"/>
  <c r="H200" i="20"/>
  <c r="I200" i="20" s="1"/>
  <c r="H238" i="20"/>
  <c r="I238" i="20" s="1"/>
  <c r="H251" i="20"/>
  <c r="I251" i="20" s="1"/>
  <c r="H145" i="20"/>
  <c r="I145" i="20" s="1"/>
  <c r="H109" i="20"/>
  <c r="I109" i="20" s="1"/>
  <c r="H141" i="20"/>
  <c r="I141" i="20" s="1"/>
  <c r="H108" i="20"/>
  <c r="I108" i="20" s="1"/>
  <c r="H112" i="20"/>
  <c r="H130" i="20"/>
  <c r="I130" i="20" s="1"/>
  <c r="H122" i="20"/>
  <c r="I122" i="20" s="1"/>
  <c r="H120" i="20"/>
  <c r="I120" i="20" s="1"/>
  <c r="H139" i="20"/>
  <c r="I139" i="20" s="1"/>
  <c r="H137" i="20"/>
  <c r="I137" i="20" s="1"/>
  <c r="H154" i="20"/>
  <c r="I154" i="20" s="1"/>
  <c r="H123" i="20"/>
  <c r="I123" i="20" s="1"/>
  <c r="H134" i="20"/>
  <c r="I134" i="20" s="1"/>
  <c r="H129" i="20"/>
  <c r="I129" i="20" s="1"/>
  <c r="H135" i="20"/>
  <c r="I135" i="20" s="1"/>
  <c r="H117" i="20"/>
  <c r="I117" i="20" s="1"/>
  <c r="H144" i="20"/>
  <c r="I144" i="20" s="1"/>
  <c r="H104" i="20"/>
  <c r="I104" i="20" s="1"/>
  <c r="H162" i="20"/>
  <c r="I162" i="20" s="1"/>
  <c r="H111" i="20"/>
  <c r="I111" i="20" s="1"/>
  <c r="H159" i="20"/>
  <c r="I159" i="20" s="1"/>
  <c r="H124" i="20"/>
  <c r="I124" i="20" s="1"/>
  <c r="H160" i="20"/>
  <c r="I160" i="20" s="1"/>
  <c r="H128" i="20"/>
  <c r="I128" i="20" s="1"/>
  <c r="H148" i="20"/>
  <c r="I148" i="20" s="1"/>
  <c r="H142" i="20"/>
  <c r="I142" i="20" s="1"/>
  <c r="H118" i="20"/>
  <c r="I118" i="20" s="1"/>
  <c r="H107" i="20"/>
  <c r="I107" i="20" s="1"/>
  <c r="H114" i="20"/>
  <c r="I114" i="20" s="1"/>
  <c r="H140" i="20"/>
  <c r="I140" i="20" s="1"/>
  <c r="H105" i="20"/>
  <c r="I105" i="20" s="1"/>
  <c r="H156" i="20"/>
  <c r="I156" i="20" s="1"/>
  <c r="H115" i="20"/>
  <c r="I115" i="20" s="1"/>
  <c r="H138" i="20"/>
  <c r="I138" i="20" s="1"/>
  <c r="H132" i="20"/>
  <c r="I132" i="20" s="1"/>
  <c r="H157" i="20"/>
  <c r="I157" i="20" s="1"/>
  <c r="H110" i="20"/>
  <c r="I110" i="20" s="1"/>
  <c r="H155" i="20"/>
  <c r="I155" i="20" s="1"/>
  <c r="H153" i="20"/>
  <c r="I153" i="20" s="1"/>
  <c r="H161" i="20"/>
  <c r="I161" i="20" s="1"/>
  <c r="H121" i="20"/>
  <c r="I121" i="20" s="1"/>
  <c r="H151" i="20"/>
  <c r="I151" i="20" s="1"/>
  <c r="H136" i="20"/>
  <c r="I136" i="20" s="1"/>
  <c r="H158" i="20"/>
  <c r="I158" i="20" s="1"/>
  <c r="H116" i="20"/>
  <c r="I116" i="20" s="1"/>
  <c r="H125" i="20"/>
  <c r="I125" i="20" s="1"/>
  <c r="H131" i="20"/>
  <c r="I131" i="20" s="1"/>
  <c r="H119" i="20"/>
  <c r="I119" i="20" s="1"/>
  <c r="H152" i="20"/>
  <c r="I152" i="20" s="1"/>
  <c r="H106" i="20"/>
  <c r="I106" i="20" s="1"/>
  <c r="H103" i="20"/>
  <c r="H143" i="20"/>
  <c r="I143" i="20" s="1"/>
  <c r="H133" i="20"/>
  <c r="I133" i="20" s="1"/>
  <c r="H126" i="20"/>
  <c r="I126" i="20" s="1"/>
  <c r="H127" i="20"/>
  <c r="I127" i="20" s="1"/>
  <c r="H146" i="20"/>
  <c r="I146" i="20" s="1"/>
  <c r="H150" i="20"/>
  <c r="I150" i="20" s="1"/>
  <c r="H149" i="20"/>
  <c r="I149" i="20" s="1"/>
  <c r="H147" i="20"/>
  <c r="I147" i="20" s="1"/>
  <c r="H113" i="20"/>
  <c r="I113" i="20" s="1"/>
  <c r="H417" i="20"/>
  <c r="I417" i="20" s="1"/>
  <c r="H387" i="20"/>
  <c r="I387" i="20" s="1"/>
  <c r="H422" i="20"/>
  <c r="I422" i="20" s="1"/>
  <c r="H429" i="20"/>
  <c r="I429" i="20" s="1"/>
  <c r="H377" i="20"/>
  <c r="I377" i="20" s="1"/>
  <c r="H420" i="20"/>
  <c r="I420" i="20" s="1"/>
  <c r="H425" i="20"/>
  <c r="I425" i="20" s="1"/>
  <c r="H419" i="20"/>
  <c r="I419" i="20" s="1"/>
  <c r="H399" i="20"/>
  <c r="I399" i="20" s="1"/>
  <c r="H391" i="20"/>
  <c r="I391" i="20" s="1"/>
  <c r="H418" i="20"/>
  <c r="I418" i="20" s="1"/>
  <c r="H427" i="20"/>
  <c r="I427" i="20" s="1"/>
  <c r="H396" i="20"/>
  <c r="I396" i="20" s="1"/>
  <c r="H400" i="20"/>
  <c r="I400" i="20" s="1"/>
  <c r="H393" i="20"/>
  <c r="I393" i="20" s="1"/>
  <c r="H378" i="20"/>
  <c r="I378" i="20" s="1"/>
  <c r="H401" i="20"/>
  <c r="I401" i="20" s="1"/>
  <c r="H374" i="20"/>
  <c r="I374" i="20" s="1"/>
  <c r="H428" i="20"/>
  <c r="I428" i="20" s="1"/>
  <c r="H372" i="20"/>
  <c r="H385" i="20"/>
  <c r="I385" i="20" s="1"/>
  <c r="H416" i="20"/>
  <c r="I416" i="20" s="1"/>
  <c r="H386" i="20"/>
  <c r="I386" i="20" s="1"/>
  <c r="H402" i="20"/>
  <c r="I402" i="20" s="1"/>
  <c r="H388" i="20"/>
  <c r="I388" i="20" s="1"/>
  <c r="H383" i="20"/>
  <c r="I383" i="20" s="1"/>
  <c r="H426" i="20"/>
  <c r="I426" i="20" s="1"/>
  <c r="H398" i="20"/>
  <c r="I398" i="20" s="1"/>
  <c r="H392" i="20"/>
  <c r="I392" i="20" s="1"/>
  <c r="H397" i="20"/>
  <c r="I397" i="20" s="1"/>
  <c r="H412" i="20"/>
  <c r="I412" i="20" s="1"/>
  <c r="H381" i="20"/>
  <c r="I381" i="20" s="1"/>
  <c r="H413" i="20"/>
  <c r="I413" i="20" s="1"/>
  <c r="H403" i="20"/>
  <c r="I403" i="20" s="1"/>
  <c r="H410" i="20"/>
  <c r="I410" i="20" s="1"/>
  <c r="H405" i="20"/>
  <c r="I405" i="20" s="1"/>
  <c r="H376" i="20"/>
  <c r="I376" i="20" s="1"/>
  <c r="H409" i="20"/>
  <c r="I409" i="20" s="1"/>
  <c r="H415" i="20"/>
  <c r="I415" i="20" s="1"/>
  <c r="H379" i="20"/>
  <c r="I379" i="20" s="1"/>
  <c r="H373" i="20"/>
  <c r="I373" i="20" s="1"/>
  <c r="H414" i="20"/>
  <c r="I414" i="20" s="1"/>
  <c r="H423" i="20"/>
  <c r="I423" i="20" s="1"/>
  <c r="H407" i="20"/>
  <c r="I407" i="20" s="1"/>
  <c r="H421" i="20"/>
  <c r="I421" i="20" s="1"/>
  <c r="H424" i="20"/>
  <c r="I424" i="20" s="1"/>
  <c r="H384" i="20"/>
  <c r="I384" i="20" s="1"/>
  <c r="H380" i="20"/>
  <c r="I380" i="20" s="1"/>
  <c r="H382" i="20"/>
  <c r="I382" i="20" s="1"/>
  <c r="H394" i="20"/>
  <c r="I394" i="20" s="1"/>
  <c r="H411" i="20"/>
  <c r="I411" i="20" s="1"/>
  <c r="H389" i="20"/>
  <c r="I389" i="20" s="1"/>
  <c r="H404" i="20"/>
  <c r="I404" i="20" s="1"/>
  <c r="H408" i="20"/>
  <c r="I408" i="20" s="1"/>
  <c r="H375" i="20"/>
  <c r="I375" i="20" s="1"/>
  <c r="H395" i="20"/>
  <c r="I395" i="20" s="1"/>
  <c r="H370" i="20"/>
  <c r="H390" i="20"/>
  <c r="I390" i="20" s="1"/>
  <c r="H406" i="20"/>
  <c r="I406" i="20" s="1"/>
  <c r="H371" i="20"/>
  <c r="I371" i="20" s="1"/>
  <c r="H585" i="20"/>
  <c r="I585" i="20" s="1"/>
  <c r="H593" i="20"/>
  <c r="I593" i="20" s="1"/>
  <c r="H558" i="20"/>
  <c r="I558" i="20" s="1"/>
  <c r="H588" i="20"/>
  <c r="I588" i="20" s="1"/>
  <c r="H555" i="20"/>
  <c r="I555" i="20" s="1"/>
  <c r="H554" i="20"/>
  <c r="I554" i="20" s="1"/>
  <c r="H600" i="20"/>
  <c r="I600" i="20" s="1"/>
  <c r="H564" i="20"/>
  <c r="I564" i="20" s="1"/>
  <c r="H604" i="20"/>
  <c r="I604" i="20" s="1"/>
  <c r="H594" i="20"/>
  <c r="I594" i="20" s="1"/>
  <c r="H596" i="20"/>
  <c r="I596" i="20" s="1"/>
  <c r="H549" i="20"/>
  <c r="I549" i="20" s="1"/>
  <c r="H557" i="20"/>
  <c r="I557" i="20" s="1"/>
  <c r="H566" i="20"/>
  <c r="I566" i="20" s="1"/>
  <c r="H586" i="20"/>
  <c r="I586" i="20" s="1"/>
  <c r="H579" i="20"/>
  <c r="I579" i="20" s="1"/>
  <c r="H551" i="20"/>
  <c r="I551" i="20" s="1"/>
  <c r="H578" i="20"/>
  <c r="I578" i="20" s="1"/>
  <c r="H576" i="20"/>
  <c r="I576" i="20" s="1"/>
  <c r="H560" i="20"/>
  <c r="I560" i="20" s="1"/>
  <c r="H562" i="20"/>
  <c r="I562" i="20" s="1"/>
  <c r="H590" i="20"/>
  <c r="I590" i="20" s="1"/>
  <c r="H574" i="20"/>
  <c r="I574" i="20" s="1"/>
  <c r="H569" i="20"/>
  <c r="I569" i="20" s="1"/>
  <c r="H598" i="20"/>
  <c r="I598" i="20" s="1"/>
  <c r="H580" i="20"/>
  <c r="I580" i="20" s="1"/>
  <c r="H591" i="20"/>
  <c r="I591" i="20" s="1"/>
  <c r="H587" i="20"/>
  <c r="I587" i="20" s="1"/>
  <c r="H595" i="20"/>
  <c r="I595" i="20" s="1"/>
  <c r="H568" i="20"/>
  <c r="I568" i="20" s="1"/>
  <c r="H553" i="20"/>
  <c r="I553" i="20" s="1"/>
  <c r="H552" i="20"/>
  <c r="H565" i="20"/>
  <c r="I565" i="20" s="1"/>
  <c r="H561" i="20"/>
  <c r="I561" i="20" s="1"/>
  <c r="H550" i="20"/>
  <c r="I550" i="20" s="1"/>
  <c r="H559" i="20"/>
  <c r="I559" i="20" s="1"/>
  <c r="H602" i="20"/>
  <c r="I602" i="20" s="1"/>
  <c r="H597" i="20"/>
  <c r="I597" i="20" s="1"/>
  <c r="H599" i="20"/>
  <c r="I599" i="20" s="1"/>
  <c r="H584" i="20"/>
  <c r="I584" i="20" s="1"/>
  <c r="H567" i="20"/>
  <c r="I567" i="20" s="1"/>
  <c r="H589" i="20"/>
  <c r="I589" i="20" s="1"/>
  <c r="H592" i="20"/>
  <c r="I592" i="20" s="1"/>
  <c r="H575" i="20"/>
  <c r="I575" i="20" s="1"/>
  <c r="H606" i="20"/>
  <c r="I606" i="20" s="1"/>
  <c r="H573" i="20"/>
  <c r="I573" i="20" s="1"/>
  <c r="H601" i="20"/>
  <c r="I601" i="20" s="1"/>
  <c r="H571" i="20"/>
  <c r="I571" i="20" s="1"/>
  <c r="H577" i="20"/>
  <c r="I577" i="20" s="1"/>
  <c r="H570" i="20"/>
  <c r="I570" i="20" s="1"/>
  <c r="H583" i="20"/>
  <c r="I583" i="20" s="1"/>
  <c r="H582" i="20"/>
  <c r="I582" i="20" s="1"/>
  <c r="H607" i="20"/>
  <c r="I607" i="20" s="1"/>
  <c r="H581" i="20"/>
  <c r="I581" i="20" s="1"/>
  <c r="H572" i="20"/>
  <c r="I572" i="20" s="1"/>
  <c r="H556" i="20"/>
  <c r="I556" i="20" s="1"/>
  <c r="H563" i="20"/>
  <c r="I563" i="20" s="1"/>
  <c r="H605" i="20"/>
  <c r="I605" i="20" s="1"/>
  <c r="H603" i="20"/>
  <c r="I603" i="20" s="1"/>
  <c r="H548" i="20"/>
  <c r="M719" i="13"/>
  <c r="M700" i="13"/>
  <c r="M701" i="13" s="1"/>
  <c r="M363" i="13"/>
  <c r="H423" i="13"/>
  <c r="H858" i="13"/>
  <c r="M891" i="13"/>
  <c r="M874" i="13"/>
  <c r="M875" i="13" s="1"/>
  <c r="M547" i="13"/>
  <c r="M526" i="13"/>
  <c r="M527" i="13" s="1"/>
  <c r="G341" i="20"/>
  <c r="I392" i="13"/>
  <c r="J392" i="13" s="1"/>
  <c r="I374" i="13"/>
  <c r="J374" i="13" s="1"/>
  <c r="I400" i="13"/>
  <c r="J400" i="13" s="1"/>
  <c r="I377" i="13"/>
  <c r="J377" i="13" s="1"/>
  <c r="I405" i="13"/>
  <c r="J405" i="13" s="1"/>
  <c r="I399" i="13"/>
  <c r="J399" i="13" s="1"/>
  <c r="I376" i="13"/>
  <c r="J376" i="13" s="1"/>
  <c r="I418" i="13"/>
  <c r="J418" i="13" s="1"/>
  <c r="I388" i="13"/>
  <c r="J388" i="13" s="1"/>
  <c r="I413" i="13"/>
  <c r="J413" i="13" s="1"/>
  <c r="I366" i="13"/>
  <c r="I386" i="13"/>
  <c r="J386" i="13" s="1"/>
  <c r="I422" i="13"/>
  <c r="J422" i="13" s="1"/>
  <c r="I415" i="13"/>
  <c r="J415" i="13" s="1"/>
  <c r="I390" i="13"/>
  <c r="J390" i="13" s="1"/>
  <c r="I364" i="13"/>
  <c r="I402" i="13"/>
  <c r="J402" i="13" s="1"/>
  <c r="I371" i="13"/>
  <c r="I404" i="13"/>
  <c r="J404" i="13" s="1"/>
  <c r="I421" i="13"/>
  <c r="J421" i="13" s="1"/>
  <c r="I380" i="13"/>
  <c r="J380" i="13" s="1"/>
  <c r="I384" i="13"/>
  <c r="J384" i="13" s="1"/>
  <c r="I365" i="13"/>
  <c r="I370" i="13"/>
  <c r="I398" i="13"/>
  <c r="J398" i="13" s="1"/>
  <c r="I406" i="13"/>
  <c r="J406" i="13" s="1"/>
  <c r="I381" i="13"/>
  <c r="J381" i="13" s="1"/>
  <c r="I394" i="13"/>
  <c r="J394" i="13" s="1"/>
  <c r="I407" i="13"/>
  <c r="J407" i="13" s="1"/>
  <c r="I393" i="13"/>
  <c r="J393" i="13" s="1"/>
  <c r="I417" i="13"/>
  <c r="J417" i="13" s="1"/>
  <c r="I372" i="13"/>
  <c r="I369" i="13"/>
  <c r="I383" i="13"/>
  <c r="J383" i="13" s="1"/>
  <c r="I412" i="13"/>
  <c r="J412" i="13" s="1"/>
  <c r="I387" i="13"/>
  <c r="J387" i="13" s="1"/>
  <c r="I379" i="13"/>
  <c r="J379" i="13" s="1"/>
  <c r="I385" i="13"/>
  <c r="J385" i="13" s="1"/>
  <c r="I363" i="13"/>
  <c r="I401" i="13"/>
  <c r="J401" i="13" s="1"/>
  <c r="I410" i="13"/>
  <c r="J410" i="13" s="1"/>
  <c r="I414" i="13"/>
  <c r="J414" i="13" s="1"/>
  <c r="I389" i="13"/>
  <c r="J389" i="13" s="1"/>
  <c r="I375" i="13"/>
  <c r="J375" i="13" s="1"/>
  <c r="I373" i="13"/>
  <c r="J373" i="13" s="1"/>
  <c r="I416" i="13"/>
  <c r="J416" i="13" s="1"/>
  <c r="I378" i="13"/>
  <c r="J378" i="13" s="1"/>
  <c r="I419" i="13"/>
  <c r="J419" i="13" s="1"/>
  <c r="I411" i="13"/>
  <c r="J411" i="13" s="1"/>
  <c r="I397" i="13"/>
  <c r="J397" i="13" s="1"/>
  <c r="I396" i="13"/>
  <c r="J396" i="13" s="1"/>
  <c r="I403" i="13"/>
  <c r="J403" i="13" s="1"/>
  <c r="I368" i="13"/>
  <c r="I408" i="13"/>
  <c r="J408" i="13" s="1"/>
  <c r="I409" i="13"/>
  <c r="J409" i="13" s="1"/>
  <c r="I382" i="13"/>
  <c r="J382" i="13" s="1"/>
  <c r="I391" i="13"/>
  <c r="J391" i="13" s="1"/>
  <c r="I367" i="13"/>
  <c r="I395" i="13"/>
  <c r="J395" i="13" s="1"/>
  <c r="I420" i="13"/>
  <c r="J420" i="13" s="1"/>
  <c r="M371" i="13"/>
  <c r="M352" i="13"/>
  <c r="M353" i="13" s="1"/>
  <c r="I498" i="13"/>
  <c r="J498" i="13" s="1"/>
  <c r="I461" i="13"/>
  <c r="I497" i="13"/>
  <c r="J497" i="13" s="1"/>
  <c r="I471" i="13"/>
  <c r="J471" i="13" s="1"/>
  <c r="I492" i="13"/>
  <c r="J492" i="13" s="1"/>
  <c r="I506" i="13"/>
  <c r="J506" i="13" s="1"/>
  <c r="I508" i="13"/>
  <c r="J508" i="13" s="1"/>
  <c r="I453" i="13"/>
  <c r="I485" i="13"/>
  <c r="J485" i="13" s="1"/>
  <c r="I465" i="13"/>
  <c r="J465" i="13" s="1"/>
  <c r="I472" i="13"/>
  <c r="J472" i="13" s="1"/>
  <c r="I503" i="13"/>
  <c r="J503" i="13" s="1"/>
  <c r="I483" i="13"/>
  <c r="J483" i="13" s="1"/>
  <c r="I493" i="13"/>
  <c r="J493" i="13" s="1"/>
  <c r="I494" i="13"/>
  <c r="J494" i="13" s="1"/>
  <c r="I457" i="13"/>
  <c r="I451" i="13"/>
  <c r="I454" i="13"/>
  <c r="I481" i="13"/>
  <c r="J481" i="13" s="1"/>
  <c r="I473" i="13"/>
  <c r="J473" i="13" s="1"/>
  <c r="I467" i="13"/>
  <c r="J467" i="13" s="1"/>
  <c r="I495" i="13"/>
  <c r="J495" i="13" s="1"/>
  <c r="I487" i="13"/>
  <c r="J487" i="13" s="1"/>
  <c r="I460" i="13"/>
  <c r="I452" i="13"/>
  <c r="I505" i="13"/>
  <c r="J505" i="13" s="1"/>
  <c r="I509" i="13"/>
  <c r="J509" i="13" s="1"/>
  <c r="I500" i="13"/>
  <c r="J500" i="13" s="1"/>
  <c r="I479" i="13"/>
  <c r="J479" i="13" s="1"/>
  <c r="I484" i="13"/>
  <c r="J484" i="13" s="1"/>
  <c r="I501" i="13"/>
  <c r="J501" i="13" s="1"/>
  <c r="I504" i="13"/>
  <c r="J504" i="13" s="1"/>
  <c r="I450" i="13"/>
  <c r="I464" i="13"/>
  <c r="J464" i="13" s="1"/>
  <c r="I456" i="13"/>
  <c r="I462" i="13"/>
  <c r="I499" i="13"/>
  <c r="J499" i="13" s="1"/>
  <c r="I455" i="13"/>
  <c r="I488" i="13"/>
  <c r="J488" i="13" s="1"/>
  <c r="I466" i="13"/>
  <c r="J466" i="13" s="1"/>
  <c r="I486" i="13"/>
  <c r="J486" i="13" s="1"/>
  <c r="I490" i="13"/>
  <c r="J490" i="13" s="1"/>
  <c r="I474" i="13"/>
  <c r="J474" i="13" s="1"/>
  <c r="I478" i="13"/>
  <c r="J478" i="13" s="1"/>
  <c r="I468" i="13"/>
  <c r="J468" i="13" s="1"/>
  <c r="I489" i="13"/>
  <c r="J489" i="13" s="1"/>
  <c r="I502" i="13"/>
  <c r="J502" i="13" s="1"/>
  <c r="I470" i="13"/>
  <c r="J470" i="13" s="1"/>
  <c r="I463" i="13"/>
  <c r="J463" i="13" s="1"/>
  <c r="I482" i="13"/>
  <c r="J482" i="13" s="1"/>
  <c r="I458" i="13"/>
  <c r="I475" i="13"/>
  <c r="J475" i="13" s="1"/>
  <c r="I480" i="13"/>
  <c r="J480" i="13" s="1"/>
  <c r="I491" i="13"/>
  <c r="J491" i="13" s="1"/>
  <c r="I496" i="13"/>
  <c r="J496" i="13" s="1"/>
  <c r="I459" i="13"/>
  <c r="I477" i="13"/>
  <c r="J477" i="13" s="1"/>
  <c r="I469" i="13"/>
  <c r="J469" i="13" s="1"/>
  <c r="I476" i="13"/>
  <c r="J476" i="13" s="1"/>
  <c r="I507" i="13"/>
  <c r="J507" i="13" s="1"/>
  <c r="M200" i="13"/>
  <c r="M178" i="13"/>
  <c r="M179" i="13" s="1"/>
  <c r="H466" i="20"/>
  <c r="I466" i="20" s="1"/>
  <c r="H492" i="20"/>
  <c r="I492" i="20" s="1"/>
  <c r="H510" i="20"/>
  <c r="I510" i="20" s="1"/>
  <c r="H515" i="20"/>
  <c r="I515" i="20" s="1"/>
  <c r="H478" i="20"/>
  <c r="I478" i="20" s="1"/>
  <c r="H488" i="20"/>
  <c r="I488" i="20" s="1"/>
  <c r="H500" i="20"/>
  <c r="I500" i="20" s="1"/>
  <c r="H490" i="20"/>
  <c r="I490" i="20" s="1"/>
  <c r="H506" i="20"/>
  <c r="I506" i="20" s="1"/>
  <c r="H502" i="20"/>
  <c r="I502" i="20" s="1"/>
  <c r="H479" i="20"/>
  <c r="I479" i="20" s="1"/>
  <c r="H473" i="20"/>
  <c r="I473" i="20" s="1"/>
  <c r="H504" i="20"/>
  <c r="I504" i="20" s="1"/>
  <c r="H512" i="20"/>
  <c r="I512" i="20" s="1"/>
  <c r="H511" i="20"/>
  <c r="I511" i="20" s="1"/>
  <c r="H486" i="20"/>
  <c r="I486" i="20" s="1"/>
  <c r="H509" i="20"/>
  <c r="I509" i="20" s="1"/>
  <c r="H482" i="20"/>
  <c r="I482" i="20" s="1"/>
  <c r="H474" i="20"/>
  <c r="I474" i="20" s="1"/>
  <c r="H517" i="20"/>
  <c r="I517" i="20" s="1"/>
  <c r="H499" i="20"/>
  <c r="I499" i="20" s="1"/>
  <c r="H475" i="20"/>
  <c r="I475" i="20" s="1"/>
  <c r="H470" i="20"/>
  <c r="I470" i="20" s="1"/>
  <c r="H469" i="20"/>
  <c r="I469" i="20" s="1"/>
  <c r="H491" i="20"/>
  <c r="I491" i="20" s="1"/>
  <c r="H505" i="20"/>
  <c r="I505" i="20" s="1"/>
  <c r="H472" i="20"/>
  <c r="I472" i="20" s="1"/>
  <c r="H485" i="20"/>
  <c r="I485" i="20" s="1"/>
  <c r="H476" i="20"/>
  <c r="I476" i="20" s="1"/>
  <c r="H462" i="20"/>
  <c r="I462" i="20" s="1"/>
  <c r="H461" i="20"/>
  <c r="I461" i="20" s="1"/>
  <c r="H487" i="20"/>
  <c r="I487" i="20" s="1"/>
  <c r="H513" i="20"/>
  <c r="I513" i="20" s="1"/>
  <c r="H471" i="20"/>
  <c r="I471" i="20" s="1"/>
  <c r="H507" i="20"/>
  <c r="I507" i="20" s="1"/>
  <c r="H481" i="20"/>
  <c r="I481" i="20" s="1"/>
  <c r="H501" i="20"/>
  <c r="I501" i="20" s="1"/>
  <c r="H498" i="20"/>
  <c r="I498" i="20" s="1"/>
  <c r="H483" i="20"/>
  <c r="I483" i="20" s="1"/>
  <c r="H484" i="20"/>
  <c r="I484" i="20" s="1"/>
  <c r="H460" i="20"/>
  <c r="I460" i="20" s="1"/>
  <c r="H508" i="20"/>
  <c r="I508" i="20" s="1"/>
  <c r="H494" i="20"/>
  <c r="I494" i="20" s="1"/>
  <c r="H465" i="20"/>
  <c r="I465" i="20" s="1"/>
  <c r="H467" i="20"/>
  <c r="I467" i="20" s="1"/>
  <c r="H459" i="20"/>
  <c r="H503" i="20"/>
  <c r="I503" i="20" s="1"/>
  <c r="H489" i="20"/>
  <c r="I489" i="20" s="1"/>
  <c r="H518" i="20"/>
  <c r="I518" i="20" s="1"/>
  <c r="H516" i="20"/>
  <c r="I516" i="20" s="1"/>
  <c r="H493" i="20"/>
  <c r="I493" i="20" s="1"/>
  <c r="H463" i="20"/>
  <c r="I463" i="20" s="1"/>
  <c r="H514" i="20"/>
  <c r="I514" i="20" s="1"/>
  <c r="H496" i="20"/>
  <c r="I496" i="20" s="1"/>
  <c r="H497" i="20"/>
  <c r="I497" i="20" s="1"/>
  <c r="H468" i="20"/>
  <c r="I468" i="20" s="1"/>
  <c r="H480" i="20"/>
  <c r="I480" i="20" s="1"/>
  <c r="H477" i="20"/>
  <c r="I477" i="20" s="1"/>
  <c r="H464" i="20"/>
  <c r="H495" i="20"/>
  <c r="I495" i="20" s="1"/>
  <c r="I588" i="13"/>
  <c r="J588" i="13" s="1"/>
  <c r="I560" i="13"/>
  <c r="J560" i="13" s="1"/>
  <c r="I575" i="13"/>
  <c r="J575" i="13" s="1"/>
  <c r="I563" i="13"/>
  <c r="J563" i="13" s="1"/>
  <c r="I546" i="13"/>
  <c r="I571" i="13"/>
  <c r="J571" i="13" s="1"/>
  <c r="I587" i="13"/>
  <c r="J587" i="13" s="1"/>
  <c r="I561" i="13"/>
  <c r="J561" i="13" s="1"/>
  <c r="I550" i="13"/>
  <c r="J550" i="13" s="1"/>
  <c r="I558" i="13"/>
  <c r="J558" i="13" s="1"/>
  <c r="I555" i="13"/>
  <c r="J555" i="13" s="1"/>
  <c r="I580" i="13"/>
  <c r="J580" i="13" s="1"/>
  <c r="I586" i="13"/>
  <c r="J586" i="13" s="1"/>
  <c r="I551" i="13"/>
  <c r="J551" i="13" s="1"/>
  <c r="I542" i="13"/>
  <c r="I549" i="13"/>
  <c r="J549" i="13" s="1"/>
  <c r="I547" i="13"/>
  <c r="I579" i="13"/>
  <c r="J579" i="13" s="1"/>
  <c r="I553" i="13"/>
  <c r="J553" i="13" s="1"/>
  <c r="I543" i="13"/>
  <c r="I592" i="13"/>
  <c r="J592" i="13" s="1"/>
  <c r="I541" i="13"/>
  <c r="I539" i="13"/>
  <c r="I578" i="13"/>
  <c r="J578" i="13" s="1"/>
  <c r="I545" i="13"/>
  <c r="I552" i="13"/>
  <c r="J552" i="13" s="1"/>
  <c r="I589" i="13"/>
  <c r="J589" i="13" s="1"/>
  <c r="I584" i="13"/>
  <c r="J584" i="13" s="1"/>
  <c r="I566" i="13"/>
  <c r="J566" i="13" s="1"/>
  <c r="I556" i="13"/>
  <c r="J556" i="13" s="1"/>
  <c r="I574" i="13"/>
  <c r="J574" i="13" s="1"/>
  <c r="I572" i="13"/>
  <c r="J572" i="13" s="1"/>
  <c r="I576" i="13"/>
  <c r="J576" i="13" s="1"/>
  <c r="I591" i="13"/>
  <c r="J591" i="13" s="1"/>
  <c r="I582" i="13"/>
  <c r="J582" i="13" s="1"/>
  <c r="I538" i="13"/>
  <c r="I573" i="13"/>
  <c r="J573" i="13" s="1"/>
  <c r="I585" i="13"/>
  <c r="J585" i="13" s="1"/>
  <c r="I554" i="13"/>
  <c r="J554" i="13" s="1"/>
  <c r="I581" i="13"/>
  <c r="J581" i="13" s="1"/>
  <c r="I564" i="13"/>
  <c r="J564" i="13" s="1"/>
  <c r="I577" i="13"/>
  <c r="J577" i="13" s="1"/>
  <c r="I593" i="13"/>
  <c r="J593" i="13" s="1"/>
  <c r="I559" i="13"/>
  <c r="J559" i="13" s="1"/>
  <c r="I570" i="13"/>
  <c r="J570" i="13" s="1"/>
  <c r="I594" i="13"/>
  <c r="J594" i="13" s="1"/>
  <c r="I595" i="13"/>
  <c r="J595" i="13" s="1"/>
  <c r="I548" i="13"/>
  <c r="I562" i="13"/>
  <c r="J562" i="13" s="1"/>
  <c r="I590" i="13"/>
  <c r="J590" i="13" s="1"/>
  <c r="I557" i="13"/>
  <c r="J557" i="13" s="1"/>
  <c r="I565" i="13"/>
  <c r="J565" i="13" s="1"/>
  <c r="I544" i="13"/>
  <c r="I568" i="13"/>
  <c r="J568" i="13" s="1"/>
  <c r="I583" i="13"/>
  <c r="J583" i="13" s="1"/>
  <c r="I567" i="13"/>
  <c r="J567" i="13" s="1"/>
  <c r="I540" i="13"/>
  <c r="I537" i="13"/>
  <c r="I569" i="13"/>
  <c r="J569" i="13" s="1"/>
  <c r="I596" i="13"/>
  <c r="J596" i="13" s="1"/>
  <c r="M276" i="13"/>
  <c r="H336" i="13"/>
  <c r="M287" i="13"/>
  <c r="M265" i="13"/>
  <c r="M266" i="13" s="1"/>
  <c r="H299" i="20"/>
  <c r="I299" i="20" s="1"/>
  <c r="H324" i="20"/>
  <c r="I324" i="20" s="1"/>
  <c r="H305" i="20"/>
  <c r="I305" i="20" s="1"/>
  <c r="H282" i="20"/>
  <c r="I282" i="20" s="1"/>
  <c r="H301" i="20"/>
  <c r="I301" i="20" s="1"/>
  <c r="H326" i="20"/>
  <c r="I326" i="20" s="1"/>
  <c r="H289" i="20"/>
  <c r="I289" i="20" s="1"/>
  <c r="H308" i="20"/>
  <c r="I308" i="20" s="1"/>
  <c r="H300" i="20"/>
  <c r="I300" i="20" s="1"/>
  <c r="H316" i="20"/>
  <c r="I316" i="20" s="1"/>
  <c r="H286" i="20"/>
  <c r="H309" i="20"/>
  <c r="I309" i="20" s="1"/>
  <c r="H321" i="20"/>
  <c r="I321" i="20" s="1"/>
  <c r="H302" i="20"/>
  <c r="I302" i="20" s="1"/>
  <c r="H288" i="20"/>
  <c r="I288" i="20" s="1"/>
  <c r="H298" i="20"/>
  <c r="I298" i="20" s="1"/>
  <c r="H295" i="20"/>
  <c r="I295" i="20" s="1"/>
  <c r="H293" i="20"/>
  <c r="I293" i="20" s="1"/>
  <c r="H340" i="20"/>
  <c r="I340" i="20" s="1"/>
  <c r="H306" i="20"/>
  <c r="I306" i="20" s="1"/>
  <c r="H310" i="20"/>
  <c r="I310" i="20" s="1"/>
  <c r="H292" i="20"/>
  <c r="I292" i="20" s="1"/>
  <c r="H304" i="20"/>
  <c r="I304" i="20" s="1"/>
  <c r="H335" i="20"/>
  <c r="I335" i="20" s="1"/>
  <c r="H311" i="20"/>
  <c r="I311" i="20" s="1"/>
  <c r="H334" i="20"/>
  <c r="I334" i="20" s="1"/>
  <c r="H284" i="20"/>
  <c r="I284" i="20" s="1"/>
  <c r="H328" i="20"/>
  <c r="I328" i="20" s="1"/>
  <c r="H331" i="20"/>
  <c r="I331" i="20" s="1"/>
  <c r="H325" i="20"/>
  <c r="I325" i="20" s="1"/>
  <c r="H318" i="20"/>
  <c r="I318" i="20" s="1"/>
  <c r="H307" i="20"/>
  <c r="I307" i="20" s="1"/>
  <c r="H330" i="20"/>
  <c r="I330" i="20" s="1"/>
  <c r="H332" i="20"/>
  <c r="I332" i="20" s="1"/>
  <c r="H323" i="20"/>
  <c r="I323" i="20" s="1"/>
  <c r="H329" i="20"/>
  <c r="I329" i="20" s="1"/>
  <c r="H319" i="20"/>
  <c r="I319" i="20" s="1"/>
  <c r="H313" i="20"/>
  <c r="I313" i="20" s="1"/>
  <c r="H296" i="20"/>
  <c r="I296" i="20" s="1"/>
  <c r="H314" i="20"/>
  <c r="I314" i="20" s="1"/>
  <c r="H339" i="20"/>
  <c r="I339" i="20" s="1"/>
  <c r="H281" i="20"/>
  <c r="H327" i="20"/>
  <c r="I327" i="20" s="1"/>
  <c r="H322" i="20"/>
  <c r="I322" i="20" s="1"/>
  <c r="H294" i="20"/>
  <c r="I294" i="20" s="1"/>
  <c r="H283" i="20"/>
  <c r="I283" i="20" s="1"/>
  <c r="H303" i="20"/>
  <c r="I303" i="20" s="1"/>
  <c r="H291" i="20"/>
  <c r="I291" i="20" s="1"/>
  <c r="H312" i="20"/>
  <c r="I312" i="20" s="1"/>
  <c r="H337" i="20"/>
  <c r="I337" i="20" s="1"/>
  <c r="H290" i="20"/>
  <c r="I290" i="20" s="1"/>
  <c r="H338" i="20"/>
  <c r="I338" i="20" s="1"/>
  <c r="H285" i="20"/>
  <c r="I285" i="20" s="1"/>
  <c r="H320" i="20"/>
  <c r="I320" i="20" s="1"/>
  <c r="H336" i="20"/>
  <c r="I336" i="20" s="1"/>
  <c r="H297" i="20"/>
  <c r="I297" i="20" s="1"/>
  <c r="H287" i="20"/>
  <c r="I287" i="20" s="1"/>
  <c r="H317" i="20"/>
  <c r="I317" i="20" s="1"/>
  <c r="H315" i="20"/>
  <c r="I315" i="20" s="1"/>
  <c r="H333" i="20"/>
  <c r="I333" i="20" s="1"/>
  <c r="G786" i="20"/>
  <c r="M805" i="13"/>
  <c r="M787" i="13"/>
  <c r="M788" i="13" s="1"/>
  <c r="G163" i="20"/>
  <c r="I731" i="13"/>
  <c r="J731" i="13" s="1"/>
  <c r="I724" i="13"/>
  <c r="J724" i="13" s="1"/>
  <c r="I741" i="13"/>
  <c r="J741" i="13" s="1"/>
  <c r="I745" i="13"/>
  <c r="J745" i="13" s="1"/>
  <c r="I728" i="13"/>
  <c r="J728" i="13" s="1"/>
  <c r="I735" i="13"/>
  <c r="J735" i="13" s="1"/>
  <c r="I767" i="13"/>
  <c r="J767" i="13" s="1"/>
  <c r="I713" i="13"/>
  <c r="I736" i="13"/>
  <c r="J736" i="13" s="1"/>
  <c r="I766" i="13"/>
  <c r="J766" i="13" s="1"/>
  <c r="I744" i="13"/>
  <c r="J744" i="13" s="1"/>
  <c r="I759" i="13"/>
  <c r="J759" i="13" s="1"/>
  <c r="I730" i="13"/>
  <c r="J730" i="13" s="1"/>
  <c r="I740" i="13"/>
  <c r="J740" i="13" s="1"/>
  <c r="I720" i="13"/>
  <c r="I758" i="13"/>
  <c r="J758" i="13" s="1"/>
  <c r="I753" i="13"/>
  <c r="J753" i="13" s="1"/>
  <c r="I717" i="13"/>
  <c r="J717" i="13" s="1"/>
  <c r="I719" i="13"/>
  <c r="I722" i="13"/>
  <c r="J722" i="13" s="1"/>
  <c r="I727" i="13"/>
  <c r="J727" i="13" s="1"/>
  <c r="I742" i="13"/>
  <c r="J742" i="13" s="1"/>
  <c r="I762" i="13"/>
  <c r="J762" i="13" s="1"/>
  <c r="I737" i="13"/>
  <c r="J737" i="13" s="1"/>
  <c r="I748" i="13"/>
  <c r="J748" i="13" s="1"/>
  <c r="I714" i="13"/>
  <c r="J714" i="13" s="1"/>
  <c r="I738" i="13"/>
  <c r="J738" i="13" s="1"/>
  <c r="I715" i="13"/>
  <c r="J715" i="13" s="1"/>
  <c r="I752" i="13"/>
  <c r="J752" i="13" s="1"/>
  <c r="I712" i="13"/>
  <c r="I718" i="13"/>
  <c r="J718" i="13" s="1"/>
  <c r="I765" i="13"/>
  <c r="J765" i="13" s="1"/>
  <c r="I739" i="13"/>
  <c r="J739" i="13" s="1"/>
  <c r="I751" i="13"/>
  <c r="J751" i="13" s="1"/>
  <c r="I768" i="13"/>
  <c r="J768" i="13" s="1"/>
  <c r="I725" i="13"/>
  <c r="J725" i="13" s="1"/>
  <c r="I734" i="13"/>
  <c r="J734" i="13" s="1"/>
  <c r="I721" i="13"/>
  <c r="J721" i="13" s="1"/>
  <c r="I711" i="13"/>
  <c r="I763" i="13"/>
  <c r="J763" i="13" s="1"/>
  <c r="I732" i="13"/>
  <c r="J732" i="13" s="1"/>
  <c r="I761" i="13"/>
  <c r="J761" i="13" s="1"/>
  <c r="I726" i="13"/>
  <c r="J726" i="13" s="1"/>
  <c r="I747" i="13"/>
  <c r="J747" i="13" s="1"/>
  <c r="I729" i="13"/>
  <c r="J729" i="13" s="1"/>
  <c r="I716" i="13"/>
  <c r="J716" i="13" s="1"/>
  <c r="I769" i="13"/>
  <c r="J769" i="13" s="1"/>
  <c r="I764" i="13"/>
  <c r="J764" i="13" s="1"/>
  <c r="I770" i="13"/>
  <c r="J770" i="13" s="1"/>
  <c r="I746" i="13"/>
  <c r="J746" i="13" s="1"/>
  <c r="I733" i="13"/>
  <c r="J733" i="13" s="1"/>
  <c r="I757" i="13"/>
  <c r="J757" i="13" s="1"/>
  <c r="I760" i="13"/>
  <c r="J760" i="13" s="1"/>
  <c r="I756" i="13"/>
  <c r="J756" i="13" s="1"/>
  <c r="I749" i="13"/>
  <c r="J749" i="13" s="1"/>
  <c r="I743" i="13"/>
  <c r="J743" i="13" s="1"/>
  <c r="I750" i="13"/>
  <c r="J750" i="13" s="1"/>
  <c r="I755" i="13"/>
  <c r="J755" i="13" s="1"/>
  <c r="I723" i="13"/>
  <c r="J723" i="13" s="1"/>
  <c r="I754" i="13"/>
  <c r="J754" i="13" s="1"/>
  <c r="M973" i="13"/>
  <c r="M960" i="13"/>
  <c r="M961" i="13" s="1"/>
  <c r="M189" i="13"/>
  <c r="H249" i="13"/>
  <c r="M1132" i="13"/>
  <c r="M1133" i="13" s="1"/>
  <c r="H1203" i="13"/>
  <c r="I942" i="13"/>
  <c r="J942" i="13" s="1"/>
  <c r="I901" i="13"/>
  <c r="J901" i="13" s="1"/>
  <c r="I925" i="13"/>
  <c r="J925" i="13" s="1"/>
  <c r="I929" i="13"/>
  <c r="J929" i="13" s="1"/>
  <c r="I936" i="13"/>
  <c r="J936" i="13" s="1"/>
  <c r="I897" i="13"/>
  <c r="J897" i="13" s="1"/>
  <c r="I908" i="13"/>
  <c r="J908" i="13" s="1"/>
  <c r="I907" i="13"/>
  <c r="J907" i="13" s="1"/>
  <c r="I939" i="13"/>
  <c r="J939" i="13" s="1"/>
  <c r="I927" i="13"/>
  <c r="J927" i="13" s="1"/>
  <c r="I923" i="13"/>
  <c r="J923" i="13" s="1"/>
  <c r="I898" i="13"/>
  <c r="J898" i="13" s="1"/>
  <c r="I893" i="13"/>
  <c r="J893" i="13" s="1"/>
  <c r="I944" i="13"/>
  <c r="J944" i="13" s="1"/>
  <c r="I888" i="13"/>
  <c r="I937" i="13"/>
  <c r="J937" i="13" s="1"/>
  <c r="I914" i="13"/>
  <c r="J914" i="13" s="1"/>
  <c r="I899" i="13"/>
  <c r="J899" i="13" s="1"/>
  <c r="I940" i="13"/>
  <c r="J940" i="13" s="1"/>
  <c r="I902" i="13"/>
  <c r="J902" i="13" s="1"/>
  <c r="I915" i="13"/>
  <c r="J915" i="13" s="1"/>
  <c r="I900" i="13"/>
  <c r="J900" i="13" s="1"/>
  <c r="I932" i="13"/>
  <c r="J932" i="13" s="1"/>
  <c r="I941" i="13"/>
  <c r="J941" i="13" s="1"/>
  <c r="I917" i="13"/>
  <c r="J917" i="13" s="1"/>
  <c r="I894" i="13"/>
  <c r="J894" i="13" s="1"/>
  <c r="I895" i="13"/>
  <c r="J895" i="13" s="1"/>
  <c r="I910" i="13"/>
  <c r="J910" i="13" s="1"/>
  <c r="I921" i="13"/>
  <c r="J921" i="13" s="1"/>
  <c r="I938" i="13"/>
  <c r="J938" i="13" s="1"/>
  <c r="I896" i="13"/>
  <c r="J896" i="13" s="1"/>
  <c r="I904" i="13"/>
  <c r="J904" i="13" s="1"/>
  <c r="I885" i="13"/>
  <c r="I913" i="13"/>
  <c r="J913" i="13" s="1"/>
  <c r="I887" i="13"/>
  <c r="I911" i="13"/>
  <c r="J911" i="13" s="1"/>
  <c r="I912" i="13"/>
  <c r="J912" i="13" s="1"/>
  <c r="I943" i="13"/>
  <c r="J943" i="13" s="1"/>
  <c r="I890" i="13"/>
  <c r="I909" i="13"/>
  <c r="J909" i="13" s="1"/>
  <c r="I934" i="13"/>
  <c r="J934" i="13" s="1"/>
  <c r="I919" i="13"/>
  <c r="J919" i="13" s="1"/>
  <c r="I892" i="13"/>
  <c r="I930" i="13"/>
  <c r="J930" i="13" s="1"/>
  <c r="I922" i="13"/>
  <c r="J922" i="13" s="1"/>
  <c r="I916" i="13"/>
  <c r="J916" i="13" s="1"/>
  <c r="I935" i="13"/>
  <c r="J935" i="13" s="1"/>
  <c r="I931" i="13"/>
  <c r="J931" i="13" s="1"/>
  <c r="I918" i="13"/>
  <c r="J918" i="13" s="1"/>
  <c r="I926" i="13"/>
  <c r="J926" i="13" s="1"/>
  <c r="I889" i="13"/>
  <c r="I920" i="13"/>
  <c r="J920" i="13" s="1"/>
  <c r="I906" i="13"/>
  <c r="J906" i="13" s="1"/>
  <c r="I891" i="13"/>
  <c r="I886" i="13"/>
  <c r="I928" i="13"/>
  <c r="J928" i="13" s="1"/>
  <c r="I924" i="13"/>
  <c r="J924" i="13" s="1"/>
  <c r="I903" i="13"/>
  <c r="J903" i="13" s="1"/>
  <c r="I933" i="13"/>
  <c r="J933" i="13" s="1"/>
  <c r="I905" i="13"/>
  <c r="J905" i="13" s="1"/>
  <c r="H766" i="20"/>
  <c r="I766" i="20" s="1"/>
  <c r="H785" i="20"/>
  <c r="I785" i="20" s="1"/>
  <c r="H734" i="20"/>
  <c r="I734" i="20" s="1"/>
  <c r="H773" i="20"/>
  <c r="I773" i="20" s="1"/>
  <c r="H748" i="20"/>
  <c r="I748" i="20" s="1"/>
  <c r="H772" i="20"/>
  <c r="I772" i="20" s="1"/>
  <c r="H751" i="20"/>
  <c r="I751" i="20" s="1"/>
  <c r="H763" i="20"/>
  <c r="I763" i="20" s="1"/>
  <c r="H756" i="20"/>
  <c r="I756" i="20" s="1"/>
  <c r="H736" i="20"/>
  <c r="I736" i="20" s="1"/>
  <c r="H739" i="20"/>
  <c r="I739" i="20" s="1"/>
  <c r="H754" i="20"/>
  <c r="I754" i="20" s="1"/>
  <c r="H783" i="20"/>
  <c r="I783" i="20" s="1"/>
  <c r="H745" i="20"/>
  <c r="I745" i="20" s="1"/>
  <c r="H759" i="20"/>
  <c r="I759" i="20" s="1"/>
  <c r="H733" i="20"/>
  <c r="I733" i="20" s="1"/>
  <c r="H752" i="20"/>
  <c r="I752" i="20" s="1"/>
  <c r="H735" i="20"/>
  <c r="I735" i="20" s="1"/>
  <c r="H779" i="20"/>
  <c r="I779" i="20" s="1"/>
  <c r="H755" i="20"/>
  <c r="I755" i="20" s="1"/>
  <c r="H743" i="20"/>
  <c r="I743" i="20" s="1"/>
  <c r="H729" i="20"/>
  <c r="I729" i="20" s="1"/>
  <c r="H750" i="20"/>
  <c r="I750" i="20" s="1"/>
  <c r="H746" i="20"/>
  <c r="I746" i="20" s="1"/>
  <c r="H760" i="20"/>
  <c r="I760" i="20" s="1"/>
  <c r="H770" i="20"/>
  <c r="I770" i="20" s="1"/>
  <c r="H775" i="20"/>
  <c r="I775" i="20" s="1"/>
  <c r="H777" i="20"/>
  <c r="I777" i="20" s="1"/>
  <c r="H730" i="20"/>
  <c r="I730" i="20" s="1"/>
  <c r="H726" i="20"/>
  <c r="H764" i="20"/>
  <c r="I764" i="20" s="1"/>
  <c r="H740" i="20"/>
  <c r="I740" i="20" s="1"/>
  <c r="H761" i="20"/>
  <c r="I761" i="20" s="1"/>
  <c r="H749" i="20"/>
  <c r="I749" i="20" s="1"/>
  <c r="H742" i="20"/>
  <c r="I742" i="20" s="1"/>
  <c r="H771" i="20"/>
  <c r="I771" i="20" s="1"/>
  <c r="H765" i="20"/>
  <c r="I765" i="20" s="1"/>
  <c r="H732" i="20"/>
  <c r="I732" i="20" s="1"/>
  <c r="H728" i="20"/>
  <c r="H762" i="20"/>
  <c r="I762" i="20" s="1"/>
  <c r="H767" i="20"/>
  <c r="I767" i="20" s="1"/>
  <c r="H774" i="20"/>
  <c r="I774" i="20" s="1"/>
  <c r="H784" i="20"/>
  <c r="I784" i="20" s="1"/>
  <c r="H737" i="20"/>
  <c r="I737" i="20" s="1"/>
  <c r="H780" i="20"/>
  <c r="I780" i="20" s="1"/>
  <c r="H782" i="20"/>
  <c r="I782" i="20" s="1"/>
  <c r="H768" i="20"/>
  <c r="I768" i="20" s="1"/>
  <c r="H776" i="20"/>
  <c r="I776" i="20" s="1"/>
  <c r="H758" i="20"/>
  <c r="I758" i="20" s="1"/>
  <c r="H738" i="20"/>
  <c r="I738" i="20" s="1"/>
  <c r="H727" i="20"/>
  <c r="I727" i="20" s="1"/>
  <c r="H731" i="20"/>
  <c r="I731" i="20" s="1"/>
  <c r="H757" i="20"/>
  <c r="I757" i="20" s="1"/>
  <c r="H747" i="20"/>
  <c r="I747" i="20" s="1"/>
  <c r="H769" i="20"/>
  <c r="I769" i="20" s="1"/>
  <c r="H744" i="20"/>
  <c r="I744" i="20" s="1"/>
  <c r="H781" i="20"/>
  <c r="I781" i="20" s="1"/>
  <c r="H741" i="20"/>
  <c r="I741" i="20" s="1"/>
  <c r="H753" i="20"/>
  <c r="I753" i="20" s="1"/>
  <c r="H778" i="20"/>
  <c r="I778" i="20" s="1"/>
  <c r="I301" i="13"/>
  <c r="J301" i="13" s="1"/>
  <c r="I326" i="13"/>
  <c r="J326" i="13" s="1"/>
  <c r="I312" i="13"/>
  <c r="J312" i="13" s="1"/>
  <c r="I313" i="13"/>
  <c r="J313" i="13" s="1"/>
  <c r="I316" i="13"/>
  <c r="J316" i="13" s="1"/>
  <c r="I288" i="13"/>
  <c r="I277" i="13"/>
  <c r="I285" i="13"/>
  <c r="I294" i="13"/>
  <c r="J294" i="13" s="1"/>
  <c r="I320" i="13"/>
  <c r="J320" i="13" s="1"/>
  <c r="I330" i="13"/>
  <c r="J330" i="13" s="1"/>
  <c r="I297" i="13"/>
  <c r="J297" i="13" s="1"/>
  <c r="I317" i="13"/>
  <c r="J317" i="13" s="1"/>
  <c r="I302" i="13"/>
  <c r="J302" i="13" s="1"/>
  <c r="I328" i="13"/>
  <c r="J328" i="13" s="1"/>
  <c r="I290" i="13"/>
  <c r="J290" i="13" s="1"/>
  <c r="I295" i="13"/>
  <c r="J295" i="13" s="1"/>
  <c r="I284" i="13"/>
  <c r="I311" i="13"/>
  <c r="J311" i="13" s="1"/>
  <c r="I287" i="13"/>
  <c r="I296" i="13"/>
  <c r="J296" i="13" s="1"/>
  <c r="I319" i="13"/>
  <c r="J319" i="13" s="1"/>
  <c r="I324" i="13"/>
  <c r="J324" i="13" s="1"/>
  <c r="I325" i="13"/>
  <c r="J325" i="13" s="1"/>
  <c r="I303" i="13"/>
  <c r="J303" i="13" s="1"/>
  <c r="I333" i="13"/>
  <c r="J333" i="13" s="1"/>
  <c r="I332" i="13"/>
  <c r="J332" i="13" s="1"/>
  <c r="I307" i="13"/>
  <c r="J307" i="13" s="1"/>
  <c r="I308" i="13"/>
  <c r="J308" i="13" s="1"/>
  <c r="I331" i="13"/>
  <c r="J331" i="13" s="1"/>
  <c r="I334" i="13"/>
  <c r="J334" i="13" s="1"/>
  <c r="I278" i="13"/>
  <c r="I305" i="13"/>
  <c r="J305" i="13" s="1"/>
  <c r="I293" i="13"/>
  <c r="J293" i="13" s="1"/>
  <c r="I289" i="13"/>
  <c r="J289" i="13" s="1"/>
  <c r="I299" i="13"/>
  <c r="J299" i="13" s="1"/>
  <c r="I279" i="13"/>
  <c r="I321" i="13"/>
  <c r="J321" i="13" s="1"/>
  <c r="I323" i="13"/>
  <c r="J323" i="13" s="1"/>
  <c r="I329" i="13"/>
  <c r="J329" i="13" s="1"/>
  <c r="I282" i="13"/>
  <c r="I298" i="13"/>
  <c r="J298" i="13" s="1"/>
  <c r="I304" i="13"/>
  <c r="J304" i="13" s="1"/>
  <c r="I280" i="13"/>
  <c r="I292" i="13"/>
  <c r="J292" i="13" s="1"/>
  <c r="I314" i="13"/>
  <c r="J314" i="13" s="1"/>
  <c r="I276" i="13"/>
  <c r="I322" i="13"/>
  <c r="J322" i="13" s="1"/>
  <c r="I335" i="13"/>
  <c r="J335" i="13" s="1"/>
  <c r="I318" i="13"/>
  <c r="J318" i="13" s="1"/>
  <c r="I306" i="13"/>
  <c r="J306" i="13" s="1"/>
  <c r="I283" i="13"/>
  <c r="I309" i="13"/>
  <c r="J309" i="13" s="1"/>
  <c r="I291" i="13"/>
  <c r="J291" i="13" s="1"/>
  <c r="I286" i="13"/>
  <c r="I310" i="13"/>
  <c r="J310" i="13" s="1"/>
  <c r="I300" i="13"/>
  <c r="J300" i="13" s="1"/>
  <c r="I315" i="13"/>
  <c r="J315" i="13" s="1"/>
  <c r="I327" i="13"/>
  <c r="J327" i="13" s="1"/>
  <c r="I281" i="13"/>
  <c r="J1147" i="13" l="1"/>
  <c r="O1147" i="13"/>
  <c r="P1147" i="13" s="1"/>
  <c r="J1146" i="13"/>
  <c r="O1146" i="13"/>
  <c r="P1146" i="13" s="1"/>
  <c r="J1144" i="13"/>
  <c r="O1144" i="13"/>
  <c r="P1144" i="13" s="1"/>
  <c r="J1058" i="13"/>
  <c r="O1058" i="13"/>
  <c r="P1058" i="13" s="1"/>
  <c r="J974" i="13"/>
  <c r="O974" i="13"/>
  <c r="P974" i="13" s="1"/>
  <c r="J806" i="13"/>
  <c r="O806" i="13"/>
  <c r="P806" i="13" s="1"/>
  <c r="J892" i="13"/>
  <c r="O892" i="13"/>
  <c r="P892" i="13" s="1"/>
  <c r="J720" i="13"/>
  <c r="O720" i="13"/>
  <c r="P720" i="13" s="1"/>
  <c r="J633" i="13"/>
  <c r="O633" i="13"/>
  <c r="P633" i="13" s="1"/>
  <c r="J548" i="13"/>
  <c r="O548" i="13"/>
  <c r="P548" i="13" s="1"/>
  <c r="J462" i="13"/>
  <c r="O462" i="13"/>
  <c r="P462" i="13" s="1"/>
  <c r="J372" i="13"/>
  <c r="O372" i="13"/>
  <c r="P372" i="13" s="1"/>
  <c r="J288" i="13"/>
  <c r="O288" i="13"/>
  <c r="P288" i="13" s="1"/>
  <c r="J201" i="13"/>
  <c r="O201" i="13"/>
  <c r="P201" i="13" s="1"/>
  <c r="J118" i="13"/>
  <c r="O118" i="13"/>
  <c r="P118" i="13" s="1"/>
  <c r="O281" i="13"/>
  <c r="P281" i="13" s="1"/>
  <c r="J281" i="13"/>
  <c r="O283" i="13"/>
  <c r="P283" i="13" s="1"/>
  <c r="J283" i="13"/>
  <c r="J280" i="13"/>
  <c r="O280" i="13"/>
  <c r="P280" i="13" s="1"/>
  <c r="N265" i="13"/>
  <c r="J287" i="13"/>
  <c r="O287" i="13"/>
  <c r="P287" i="13" s="1"/>
  <c r="J712" i="13"/>
  <c r="O712" i="13"/>
  <c r="P712" i="13" s="1"/>
  <c r="J541" i="13"/>
  <c r="O541" i="13"/>
  <c r="P541" i="13" s="1"/>
  <c r="O459" i="13"/>
  <c r="P459" i="13" s="1"/>
  <c r="J459" i="13"/>
  <c r="O460" i="13"/>
  <c r="P460" i="13" s="1"/>
  <c r="J460" i="13"/>
  <c r="J457" i="13"/>
  <c r="O457" i="13"/>
  <c r="P457" i="13" s="1"/>
  <c r="J453" i="13"/>
  <c r="O453" i="13"/>
  <c r="P453" i="13" s="1"/>
  <c r="I548" i="20"/>
  <c r="H608" i="20"/>
  <c r="O804" i="13"/>
  <c r="P804" i="13" s="1"/>
  <c r="J804" i="13"/>
  <c r="O972" i="13"/>
  <c r="P972" i="13" s="1"/>
  <c r="J972" i="13"/>
  <c r="O626" i="13"/>
  <c r="P626" i="13" s="1"/>
  <c r="J626" i="13"/>
  <c r="O627" i="13"/>
  <c r="P627" i="13" s="1"/>
  <c r="J627" i="13"/>
  <c r="O625" i="13"/>
  <c r="P625" i="13" s="1"/>
  <c r="J625" i="13"/>
  <c r="I1203" i="13"/>
  <c r="J1143" i="13"/>
  <c r="N1132" i="13"/>
  <c r="O106" i="13"/>
  <c r="P106" i="13" s="1"/>
  <c r="J106" i="13"/>
  <c r="M92" i="13"/>
  <c r="N22" i="13"/>
  <c r="I728" i="20"/>
  <c r="N714" i="20"/>
  <c r="N715" i="20" s="1"/>
  <c r="O887" i="13"/>
  <c r="P887" i="13" s="1"/>
  <c r="J887" i="13"/>
  <c r="O546" i="13"/>
  <c r="P546" i="13" s="1"/>
  <c r="J546" i="13"/>
  <c r="I103" i="20"/>
  <c r="H163" i="20"/>
  <c r="J104" i="13"/>
  <c r="O104" i="13"/>
  <c r="P104" i="13" s="1"/>
  <c r="O368" i="13"/>
  <c r="P368" i="13" s="1"/>
  <c r="J368" i="13"/>
  <c r="O284" i="13"/>
  <c r="P284" i="13" s="1"/>
  <c r="J284" i="13"/>
  <c r="I726" i="20"/>
  <c r="H786" i="20"/>
  <c r="J538" i="13"/>
  <c r="O538" i="13"/>
  <c r="P538" i="13" s="1"/>
  <c r="O543" i="13"/>
  <c r="P543" i="13" s="1"/>
  <c r="J543" i="13"/>
  <c r="J455" i="13"/>
  <c r="O455" i="13"/>
  <c r="P455" i="13" s="1"/>
  <c r="I197" i="20"/>
  <c r="N180" i="20"/>
  <c r="N181" i="20" s="1"/>
  <c r="O628" i="13"/>
  <c r="P628" i="13" s="1"/>
  <c r="J628" i="13"/>
  <c r="J110" i="13"/>
  <c r="O110" i="13"/>
  <c r="P110" i="13" s="1"/>
  <c r="O111" i="13"/>
  <c r="P111" i="13" s="1"/>
  <c r="J111" i="13"/>
  <c r="O544" i="13"/>
  <c r="P544" i="13" s="1"/>
  <c r="J544" i="13"/>
  <c r="J115" i="13"/>
  <c r="O115" i="13"/>
  <c r="P115" i="13" s="1"/>
  <c r="J282" i="13"/>
  <c r="O282" i="13"/>
  <c r="P282" i="13" s="1"/>
  <c r="J885" i="13"/>
  <c r="I945" i="13"/>
  <c r="J719" i="13"/>
  <c r="N700" i="13"/>
  <c r="O719" i="13"/>
  <c r="P719" i="13" s="1"/>
  <c r="N269" i="20"/>
  <c r="N270" i="20" s="1"/>
  <c r="I286" i="20"/>
  <c r="O366" i="13"/>
  <c r="P366" i="13" s="1"/>
  <c r="J366" i="13"/>
  <c r="O805" i="13"/>
  <c r="P805" i="13" s="1"/>
  <c r="J805" i="13"/>
  <c r="N787" i="13"/>
  <c r="N960" i="13"/>
  <c r="J973" i="13"/>
  <c r="O973" i="13"/>
  <c r="P973" i="13" s="1"/>
  <c r="J624" i="13"/>
  <c r="O624" i="13"/>
  <c r="P624" i="13" s="1"/>
  <c r="I684" i="13"/>
  <c r="J107" i="13"/>
  <c r="O107" i="13"/>
  <c r="P107" i="13" s="1"/>
  <c r="O116" i="13"/>
  <c r="P116" i="13" s="1"/>
  <c r="J116" i="13"/>
  <c r="O109" i="13"/>
  <c r="P109" i="13" s="1"/>
  <c r="J109" i="13"/>
  <c r="J189" i="13"/>
  <c r="O189" i="13"/>
  <c r="P189" i="13" s="1"/>
  <c r="I249" i="13"/>
  <c r="O278" i="13"/>
  <c r="P278" i="13" s="1"/>
  <c r="J278" i="13"/>
  <c r="J285" i="13"/>
  <c r="O285" i="13"/>
  <c r="P285" i="13" s="1"/>
  <c r="I281" i="20"/>
  <c r="H341" i="20"/>
  <c r="J537" i="13"/>
  <c r="I597" i="13"/>
  <c r="I459" i="20"/>
  <c r="H519" i="20"/>
  <c r="O367" i="13"/>
  <c r="P367" i="13" s="1"/>
  <c r="J367" i="13"/>
  <c r="O371" i="13"/>
  <c r="P371" i="13" s="1"/>
  <c r="N352" i="13"/>
  <c r="J371" i="13"/>
  <c r="N536" i="20"/>
  <c r="N537" i="20" s="1"/>
  <c r="I552" i="20"/>
  <c r="I372" i="20"/>
  <c r="N358" i="20"/>
  <c r="N359" i="20" s="1"/>
  <c r="O801" i="13"/>
  <c r="P801" i="13" s="1"/>
  <c r="J801" i="13"/>
  <c r="J117" i="13"/>
  <c r="O117" i="13"/>
  <c r="P117" i="13" s="1"/>
  <c r="N91" i="13"/>
  <c r="J113" i="13"/>
  <c r="O113" i="13"/>
  <c r="P113" i="13" s="1"/>
  <c r="O105" i="13"/>
  <c r="P105" i="13" s="1"/>
  <c r="J105" i="13"/>
  <c r="J112" i="13"/>
  <c r="O112" i="13"/>
  <c r="P112" i="13" s="1"/>
  <c r="J197" i="13"/>
  <c r="O197" i="13"/>
  <c r="P197" i="13" s="1"/>
  <c r="O198" i="13"/>
  <c r="P198" i="13" s="1"/>
  <c r="J198" i="13"/>
  <c r="J199" i="13"/>
  <c r="O199" i="13"/>
  <c r="P199" i="13" s="1"/>
  <c r="O191" i="13"/>
  <c r="P191" i="13" s="1"/>
  <c r="J191" i="13"/>
  <c r="O889" i="13"/>
  <c r="P889" i="13" s="1"/>
  <c r="J889" i="13"/>
  <c r="J286" i="13"/>
  <c r="O286" i="13"/>
  <c r="P286" i="13" s="1"/>
  <c r="O276" i="13"/>
  <c r="P276" i="13" s="1"/>
  <c r="J276" i="13"/>
  <c r="I336" i="13"/>
  <c r="J277" i="13"/>
  <c r="O277" i="13"/>
  <c r="P277" i="13" s="1"/>
  <c r="O886" i="13"/>
  <c r="P886" i="13" s="1"/>
  <c r="J886" i="13"/>
  <c r="J890" i="13"/>
  <c r="O890" i="13"/>
  <c r="P890" i="13" s="1"/>
  <c r="J888" i="13"/>
  <c r="O888" i="13"/>
  <c r="P888" i="13" s="1"/>
  <c r="J540" i="13"/>
  <c r="O540" i="13"/>
  <c r="P540" i="13" s="1"/>
  <c r="O545" i="13"/>
  <c r="P545" i="13" s="1"/>
  <c r="J545" i="13"/>
  <c r="N526" i="13"/>
  <c r="J547" i="13"/>
  <c r="O547" i="13"/>
  <c r="P547" i="13" s="1"/>
  <c r="O458" i="13"/>
  <c r="P458" i="13" s="1"/>
  <c r="J458" i="13"/>
  <c r="J456" i="13"/>
  <c r="O456" i="13"/>
  <c r="P456" i="13" s="1"/>
  <c r="O369" i="13"/>
  <c r="P369" i="13" s="1"/>
  <c r="J369" i="13"/>
  <c r="I192" i="20"/>
  <c r="H252" i="20"/>
  <c r="J798" i="13"/>
  <c r="I858" i="13"/>
  <c r="O802" i="13"/>
  <c r="P802" i="13" s="1"/>
  <c r="J802" i="13"/>
  <c r="J971" i="13"/>
  <c r="I1031" i="13"/>
  <c r="O631" i="13"/>
  <c r="P631" i="13" s="1"/>
  <c r="J631" i="13"/>
  <c r="J102" i="13"/>
  <c r="I162" i="13"/>
  <c r="O195" i="13"/>
  <c r="P195" i="13" s="1"/>
  <c r="J195" i="13"/>
  <c r="O190" i="13"/>
  <c r="P190" i="13" s="1"/>
  <c r="J190" i="13"/>
  <c r="N874" i="13"/>
  <c r="O891" i="13"/>
  <c r="P891" i="13" s="1"/>
  <c r="J891" i="13"/>
  <c r="J713" i="13"/>
  <c r="O713" i="13"/>
  <c r="P713" i="13" s="1"/>
  <c r="O454" i="13"/>
  <c r="P454" i="13" s="1"/>
  <c r="J454" i="13"/>
  <c r="O461" i="13"/>
  <c r="P461" i="13" s="1"/>
  <c r="N439" i="13"/>
  <c r="J461" i="13"/>
  <c r="J370" i="13"/>
  <c r="O370" i="13"/>
  <c r="P370" i="13" s="1"/>
  <c r="O364" i="13"/>
  <c r="P364" i="13" s="1"/>
  <c r="J364" i="13"/>
  <c r="O800" i="13"/>
  <c r="P800" i="13" s="1"/>
  <c r="J800" i="13"/>
  <c r="O630" i="13"/>
  <c r="P630" i="13" s="1"/>
  <c r="J630" i="13"/>
  <c r="J114" i="13"/>
  <c r="O114" i="13"/>
  <c r="P114" i="13" s="1"/>
  <c r="O108" i="13"/>
  <c r="P108" i="13" s="1"/>
  <c r="J108" i="13"/>
  <c r="J192" i="13"/>
  <c r="O192" i="13"/>
  <c r="P192" i="13" s="1"/>
  <c r="J196" i="13"/>
  <c r="O196" i="13"/>
  <c r="P196" i="13" s="1"/>
  <c r="O194" i="13"/>
  <c r="P194" i="13" s="1"/>
  <c r="J194" i="13"/>
  <c r="O200" i="13"/>
  <c r="P200" i="13" s="1"/>
  <c r="N178" i="13"/>
  <c r="J200" i="13"/>
  <c r="I1117" i="13"/>
  <c r="J1057" i="13"/>
  <c r="N1046" i="13"/>
  <c r="J279" i="13"/>
  <c r="O279" i="13"/>
  <c r="P279" i="13" s="1"/>
  <c r="O711" i="13"/>
  <c r="P711" i="13" s="1"/>
  <c r="J711" i="13"/>
  <c r="I771" i="13"/>
  <c r="J539" i="13"/>
  <c r="O539" i="13"/>
  <c r="P539" i="13" s="1"/>
  <c r="J542" i="13"/>
  <c r="O542" i="13"/>
  <c r="P542" i="13" s="1"/>
  <c r="N447" i="20"/>
  <c r="N448" i="20" s="1"/>
  <c r="I464" i="20"/>
  <c r="O450" i="13"/>
  <c r="P450" i="13" s="1"/>
  <c r="J450" i="13"/>
  <c r="I510" i="13"/>
  <c r="J452" i="13"/>
  <c r="O452" i="13"/>
  <c r="P452" i="13" s="1"/>
  <c r="J451" i="13"/>
  <c r="O451" i="13"/>
  <c r="P451" i="13" s="1"/>
  <c r="J363" i="13"/>
  <c r="O363" i="13"/>
  <c r="P363" i="13" s="1"/>
  <c r="I423" i="13"/>
  <c r="J365" i="13"/>
  <c r="O365" i="13"/>
  <c r="P365" i="13" s="1"/>
  <c r="I370" i="20"/>
  <c r="H430" i="20"/>
  <c r="I112" i="20"/>
  <c r="N91" i="20"/>
  <c r="O803" i="13"/>
  <c r="P803" i="13" s="1"/>
  <c r="J803" i="13"/>
  <c r="N613" i="13"/>
  <c r="J632" i="13"/>
  <c r="O632" i="13"/>
  <c r="P632" i="13" s="1"/>
  <c r="O629" i="13"/>
  <c r="P629" i="13" s="1"/>
  <c r="J629" i="13"/>
  <c r="I639" i="20"/>
  <c r="N625" i="20"/>
  <c r="N626" i="20" s="1"/>
  <c r="I637" i="20"/>
  <c r="H697" i="20"/>
  <c r="J103" i="13"/>
  <c r="O103" i="13"/>
  <c r="P103" i="13" s="1"/>
  <c r="J193" i="13"/>
  <c r="O193" i="13"/>
  <c r="P193" i="13" s="1"/>
  <c r="J1117" i="13" l="1"/>
  <c r="J1203" i="13"/>
  <c r="I786" i="20"/>
  <c r="I430" i="20"/>
  <c r="J1031" i="13"/>
  <c r="I252" i="20"/>
  <c r="I697" i="20"/>
  <c r="J423" i="13"/>
  <c r="N92" i="20"/>
  <c r="N26" i="20"/>
  <c r="O26" i="20" s="1"/>
  <c r="O22" i="13"/>
  <c r="O91" i="13"/>
  <c r="O92" i="13" s="1"/>
  <c r="N92" i="13"/>
  <c r="I519" i="20"/>
  <c r="N788" i="13"/>
  <c r="O787" i="13"/>
  <c r="O788" i="13" s="1"/>
  <c r="N701" i="13"/>
  <c r="O700" i="13"/>
  <c r="O701" i="13" s="1"/>
  <c r="L39" i="2" s="1"/>
  <c r="G27" i="2"/>
  <c r="L27" i="2" s="1"/>
  <c r="N23" i="13"/>
  <c r="O265" i="13"/>
  <c r="O266" i="13" s="1"/>
  <c r="N266" i="13"/>
  <c r="J597" i="13"/>
  <c r="I608" i="20"/>
  <c r="N1047" i="13"/>
  <c r="O1046" i="13"/>
  <c r="O1047" i="13" s="1"/>
  <c r="J162" i="13"/>
  <c r="J858" i="13"/>
  <c r="O352" i="13"/>
  <c r="O353" i="13" s="1"/>
  <c r="N353" i="13"/>
  <c r="J249" i="13"/>
  <c r="J945" i="13"/>
  <c r="J336" i="13"/>
  <c r="J684" i="13"/>
  <c r="N1133" i="13"/>
  <c r="O1132" i="13"/>
  <c r="O1133" i="13" s="1"/>
  <c r="O613" i="13"/>
  <c r="O614" i="13" s="1"/>
  <c r="N614" i="13"/>
  <c r="O439" i="13"/>
  <c r="O440" i="13" s="1"/>
  <c r="N440" i="13"/>
  <c r="N875" i="13"/>
  <c r="O874" i="13"/>
  <c r="O875" i="13" s="1"/>
  <c r="I341" i="20"/>
  <c r="J510" i="13"/>
  <c r="O526" i="13"/>
  <c r="O527" i="13" s="1"/>
  <c r="N527" i="13"/>
  <c r="I163" i="20"/>
  <c r="J771" i="13"/>
  <c r="O178" i="13"/>
  <c r="O179" i="13" s="1"/>
  <c r="N179" i="13"/>
  <c r="N961" i="13"/>
  <c r="O960" i="13"/>
  <c r="O961" i="13" s="1"/>
  <c r="O23" i="13" l="1"/>
  <c r="P22" i="13"/>
  <c r="P23" i="13" s="1"/>
  <c r="H23" i="48" l="1"/>
  <c r="G23" i="48"/>
  <c r="I23" i="48" l="1"/>
  <c r="D109" i="39" l="1"/>
  <c r="G25" i="48" l="1"/>
  <c r="H25" i="48" l="1"/>
  <c r="I25" i="48" s="1"/>
  <c r="H27" i="48" l="1"/>
  <c r="G27" i="48"/>
  <c r="I27" i="48" l="1"/>
  <c r="H22" i="48" l="1"/>
  <c r="G22" i="48"/>
  <c r="I22" i="48" s="1"/>
  <c r="G26" i="48" l="1"/>
  <c r="G28" i="48" s="1"/>
  <c r="H26" i="48"/>
  <c r="I26" i="48" l="1"/>
  <c r="I28" i="48" s="1"/>
  <c r="H28"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tc={6224BAA5-CDF4-440B-8930-099B48F187AA}</author>
  </authors>
  <commentList>
    <comment ref="K21" authorId="0" shapeId="0" xr:uid="{6224BAA5-CDF4-440B-8930-099B48F187AA}">
      <text>
        <t>[Threaded comment]
Your version of Excel allows you to read this threaded comment; however, any edits to it will get removed if the file is opened in a newer version of Excel. Learn more: https://go.microsoft.com/fwlink/?linkid=870924
Comment:
    only accounts with other electric revenues in description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26" authorId="0" shapeId="0" xr:uid="{B93D6F47-FCAF-450A-8401-47AA8EFED479}">
      <text>
        <r>
          <rPr>
            <b/>
            <sz val="9"/>
            <color indexed="81"/>
            <rFont val="Tahoma"/>
            <family val="2"/>
          </rPr>
          <t>this balance does not include 224-0005 as noted on the TCOS tab</t>
        </r>
        <r>
          <rPr>
            <sz val="9"/>
            <color indexed="81"/>
            <rFont val="Tahoma"/>
            <family val="2"/>
          </rPr>
          <t xml:space="preserve">
</t>
        </r>
      </text>
    </comment>
  </commentList>
</comments>
</file>

<file path=xl/sharedStrings.xml><?xml version="1.0" encoding="utf-8"?>
<sst xmlns="http://schemas.openxmlformats.org/spreadsheetml/2006/main" count="3701" uniqueCount="1475">
  <si>
    <t>CALCULATION OF RECOVERABLE HEDGE GAINS/LOSSES</t>
  </si>
  <si>
    <t>Net Includable Hedge Amount</t>
  </si>
  <si>
    <t>Source of Data</t>
  </si>
  <si>
    <t>Plant Held For Future Use</t>
  </si>
  <si>
    <t>( C )</t>
  </si>
  <si>
    <t>General Notes:  a)  References to data from Worksheets are indicated as:  Worksheet X, Line#.Column.X</t>
  </si>
  <si>
    <t>Average Balance of Common Equity</t>
  </si>
  <si>
    <t>Development of Cost of  Long Term Debt Based on Average Outstanding Balance</t>
  </si>
  <si>
    <t>Total Hedge Amortization</t>
  </si>
  <si>
    <t>Development of Cost of Preferred Stock</t>
  </si>
  <si>
    <t>321.80.b</t>
  </si>
  <si>
    <t>322.156.b</t>
  </si>
  <si>
    <t>354.21.b</t>
  </si>
  <si>
    <t>Date</t>
  </si>
  <si>
    <t>Property Description</t>
  </si>
  <si>
    <t>Basis</t>
  </si>
  <si>
    <t>Proceeds</t>
  </si>
  <si>
    <t xml:space="preserve">Line </t>
  </si>
  <si>
    <t>Function (T) or (G)</t>
  </si>
  <si>
    <t>Functional Allocator</t>
  </si>
  <si>
    <t xml:space="preserve">(G) </t>
  </si>
  <si>
    <t>Functionalized Proceeds</t>
  </si>
  <si>
    <t>Removes transmission plant (e.g. step-up transformers) included in the development of OATT ancillary service rates and not already removed for reasons indicated in Note P.</t>
  </si>
  <si>
    <t xml:space="preserve">     Less: Account 565</t>
  </si>
  <si>
    <t>ACCUMULATED DEPRECIATION AND AMORTIZATION</t>
  </si>
  <si>
    <t>WACC=</t>
  </si>
  <si>
    <t>TP1</t>
  </si>
  <si>
    <t>TP1=</t>
  </si>
  <si>
    <t>Non-</t>
  </si>
  <si>
    <t xml:space="preserve"> The rates for each AEP company have been approved by their respective regulatory commissions.  </t>
  </si>
  <si>
    <t>Annual Tax Expenses by Type (Note 1)</t>
  </si>
  <si>
    <t>SFAS 158 Offset</t>
  </si>
  <si>
    <t xml:space="preserve">IPP CONTRIBUTIONS FOR CONSTRUCTION  </t>
  </si>
  <si>
    <t>TAXES OTHER THAN INCOME</t>
  </si>
  <si>
    <t>TOTAL OTHER TAXES</t>
  </si>
  <si>
    <t xml:space="preserve">The Long Term Debt balance for I&amp;M includes the accumulated balance of principle and related interest for Spent Nuclear Fuel Disposal Costs collected prior to April 7, 1983. </t>
  </si>
  <si>
    <t>TOTAL INCOME TAXES</t>
  </si>
  <si>
    <t>Item No.</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</si>
  <si>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</si>
  <si>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</si>
  <si>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</si>
  <si>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</si>
  <si>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</si>
  <si>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</si>
  <si>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</si>
  <si>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</si>
  <si>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</si>
  <si>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</si>
  <si>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</si>
  <si>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General Plant and Administrative &amp; General expenses, other than in accounts 924, 928, and 930, will be functionalized  based on the Wages &amp; Salaries "W/S" allocator. The allocation basis for accounts 924, 928 and 930 are separately presented in the formula. A change in the allocation method for an account must be approved via a 205 filing with the FERC.</t>
  </si>
  <si>
    <t>Detail of Account 561 Per FERC Form 1</t>
  </si>
  <si>
    <t>FF1 p 321.85.b</t>
  </si>
  <si>
    <t>561.1 - Load Dispatch - Reliability</t>
  </si>
  <si>
    <t>FF1 p 321.86.b</t>
  </si>
  <si>
    <t>561.2 - Load Dispatch - Monitor &amp; Operate Trans System</t>
  </si>
  <si>
    <t>FF1 p 321.87.b</t>
  </si>
  <si>
    <t>561.3 - Load Dispatch - Trans Service &amp; Scheduling</t>
  </si>
  <si>
    <t>FF1 p 321.88.b</t>
  </si>
  <si>
    <t>561.4 - Scheduling, System Control &amp; Dispatch</t>
  </si>
  <si>
    <t>FF1 p 321.89.b</t>
  </si>
  <si>
    <t>561.5 -  Reliability, Planning and Standards Development</t>
  </si>
  <si>
    <t>FF1 p 321.90.b</t>
  </si>
  <si>
    <t>561.6 - Transmission Service Studies</t>
  </si>
  <si>
    <t>FF1 p 321.91.b</t>
  </si>
  <si>
    <t>561.7 - Generation Interconnection Studies</t>
  </si>
  <si>
    <t>FF1 p 321.92.b</t>
  </si>
  <si>
    <t>561.8 -  Reliability, Planning and Standards Development Services</t>
  </si>
  <si>
    <t>Total of Account 561</t>
  </si>
  <si>
    <t>Company Records - Note 1</t>
  </si>
  <si>
    <t>NOTE 1</t>
  </si>
  <si>
    <t xml:space="preserve">NOTE 2 </t>
  </si>
  <si>
    <t xml:space="preserve">ADIT balances should exclude balances related to hedging activity. </t>
  </si>
  <si>
    <t>Interest Accrual (Company Records - Note 1)</t>
  </si>
  <si>
    <t>Revenue Credits to Generators (Company Records - Note 1)</t>
  </si>
  <si>
    <t>Accounting Adjustment  (Company Records - Note 1)</t>
  </si>
  <si>
    <t>Subtotal - Other Operating Revenues (Company Total equals (FF1 p. 300.26.(b))</t>
  </si>
  <si>
    <t>Apportionment Factors are determined as part of the Company's annual tax return for that jurisdiction.</t>
  </si>
  <si>
    <t>FERC FORM 1</t>
  </si>
  <si>
    <t>Tie-Back</t>
  </si>
  <si>
    <t>FERC FORM 1 Reference</t>
  </si>
  <si>
    <t xml:space="preserve">NOTE 1: The detail of each total company number and its source in the FERC Form 1 is shown on WS H-1. </t>
  </si>
  <si>
    <t>FERC</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</si>
  <si>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</si>
  <si>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</si>
  <si>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</si>
  <si>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</si>
  <si>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</si>
  <si>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</si>
  <si>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</si>
  <si>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</si>
  <si>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</si>
  <si>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</si>
  <si>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</si>
  <si>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</si>
  <si>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</si>
  <si>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</si>
  <si>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</si>
  <si>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323.189.b</t>
  </si>
  <si>
    <t>323.191.b</t>
  </si>
  <si>
    <t>323.192.b</t>
  </si>
  <si>
    <t>INTEREST ON IPP CONTRIBUTION FOR CONST. (Note F) (Worksheet D, ln 2.(B))</t>
  </si>
  <si>
    <t>(Note H) 321.96.b</t>
  </si>
  <si>
    <t>EXPENSE, TAXES, RETURN &amp; REVENUE</t>
  </si>
  <si>
    <t>REQUIREMENTS  CALCULATION</t>
  </si>
  <si>
    <t>OPERATION &amp; MAINTENANCE EXPENSE</t>
  </si>
  <si>
    <t xml:space="preserve">  Administrative and General</t>
  </si>
  <si>
    <t xml:space="preserve">  Prepayments (Account 165) - Unallocable</t>
  </si>
  <si>
    <t>Number</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</si>
  <si>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</si>
  <si>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</si>
  <si>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</si>
  <si>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</si>
  <si>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</si>
  <si>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</si>
  <si>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</si>
  <si>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</si>
  <si>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</si>
  <si>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</si>
  <si>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</si>
  <si>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</si>
  <si>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</si>
  <si>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</si>
  <si>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</si>
  <si>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</si>
  <si>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</si>
  <si>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</si>
  <si>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</si>
  <si>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 xml:space="preserve">  Production</t>
  </si>
  <si>
    <t>NA</t>
  </si>
  <si>
    <t xml:space="preserve">  Transmission</t>
  </si>
  <si>
    <t>DA</t>
  </si>
  <si>
    <t xml:space="preserve">  Distribution</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</si>
  <si>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</si>
  <si>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</si>
  <si>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</si>
  <si>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</si>
  <si>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</si>
  <si>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</si>
  <si>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</si>
  <si>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</si>
  <si>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</si>
  <si>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</si>
  <si>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</si>
  <si>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 xml:space="preserve">         Other</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</si>
  <si>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</si>
  <si>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</si>
  <si>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</si>
  <si>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</si>
  <si>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</si>
  <si>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</si>
  <si>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</si>
  <si>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</si>
  <si>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</si>
  <si>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</si>
  <si>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</si>
  <si>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</si>
  <si>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</si>
  <si>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</si>
  <si>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</si>
  <si>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</si>
  <si>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</si>
  <si>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</si>
  <si>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</si>
  <si>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</si>
  <si>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</si>
  <si>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</si>
  <si>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</si>
  <si>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</si>
  <si>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</si>
  <si>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</si>
  <si>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</si>
  <si>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</si>
  <si>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</si>
  <si>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</si>
  <si>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</si>
  <si>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</si>
  <si>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</si>
  <si>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</si>
  <si>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Year</t>
  </si>
  <si>
    <t>Balance</t>
  </si>
  <si>
    <t>Total Included</t>
  </si>
  <si>
    <t>in Ratebase</t>
  </si>
  <si>
    <t>Other</t>
  </si>
  <si>
    <t xml:space="preserve">Total  </t>
  </si>
  <si>
    <t>Company</t>
  </si>
  <si>
    <t>Direct Payroll</t>
  </si>
  <si>
    <t>January</t>
  </si>
  <si>
    <t>March</t>
  </si>
  <si>
    <t>April</t>
  </si>
  <si>
    <t>May</t>
  </si>
  <si>
    <t>July</t>
  </si>
  <si>
    <t>August</t>
  </si>
  <si>
    <t>December</t>
  </si>
  <si>
    <t>September</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</si>
  <si>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</si>
  <si>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</si>
  <si>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</si>
  <si>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</si>
  <si>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</si>
  <si>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WEIGHTED AVERAGE COST OF CAPITAL (WACC)</t>
  </si>
  <si>
    <t>RETURN ON RATE BASE (Rate Base*WACC)</t>
  </si>
  <si>
    <t xml:space="preserve">         Gross Receipts/Sales &amp; Use</t>
  </si>
  <si>
    <t xml:space="preserve">  Other (Excludes A&amp;G) </t>
  </si>
  <si>
    <t>322 &amp; 323.164,171,178.b</t>
  </si>
  <si>
    <t>Total Effective State Income Tax Rate</t>
  </si>
  <si>
    <t>Cash Working Capital</t>
  </si>
  <si>
    <t>PLANT HELD FOR FUTURE USE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</si>
  <si>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</si>
  <si>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</si>
  <si>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</si>
  <si>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</si>
  <si>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</si>
  <si>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</si>
  <si>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</si>
  <si>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</si>
  <si>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</si>
  <si>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Total Other Operating Revenues To Reduce Revenue Requirement</t>
  </si>
  <si>
    <t>GTD=</t>
  </si>
  <si>
    <t xml:space="preserve"> Worksheet H-1 Form 1 Source Reference of Company Amounts on WS H</t>
  </si>
  <si>
    <t>made contributions toward the construction of System upgrades, and includes accrued interest and unreturned balance of contributions.  The annual interest</t>
  </si>
  <si>
    <t>Long Term Interest</t>
  </si>
  <si>
    <t xml:space="preserve">Preferred Dividends </t>
  </si>
  <si>
    <t>TRANSMISSION PLANT INCLUDED IN PJM TARIFF</t>
  </si>
  <si>
    <t>Transmission plant included in PJM Tariff</t>
  </si>
  <si>
    <t>Percent of transmission plant in PJM Tariff</t>
  </si>
  <si>
    <t>Removes plant excluded from the OATT because it does not meet the PJM's definition of Transmission Facilities or is otherwise ineligible to be recovered under the OATT.</t>
  </si>
  <si>
    <t>Less: Net Value of Exempted Generation Plant</t>
  </si>
  <si>
    <t xml:space="preserve">  Regional Market Expenses</t>
  </si>
  <si>
    <t>Worksheet D Supporting  IPP Credits</t>
  </si>
  <si>
    <t>Other Adjustments</t>
  </si>
  <si>
    <t>Production</t>
  </si>
  <si>
    <t xml:space="preserve">           Acct. 928 - Transmission Specific</t>
  </si>
  <si>
    <t>Remaining Unamortized Balance</t>
  </si>
  <si>
    <t>Amortization Period</t>
  </si>
  <si>
    <t>the percentage of federal income tax deductible for state income taxes.  See Worksheet G for the development of the Company's composite SIT.</t>
  </si>
  <si>
    <t>A utility that elected to utilize amortization of tax credits against taxable income, rather than book tax credits to Account No. 255 and reduce rate base, must reduce its income tax</t>
  </si>
  <si>
    <t>expense by the amount of the Amortized Investment Tax Credit (Form 1, 266.8.f)</t>
  </si>
  <si>
    <t>Regulatory Assets and Liabilities Approved for Recovery In Ratebase</t>
  </si>
  <si>
    <t xml:space="preserve"> Worksheet E Supporting Revenue Credits</t>
  </si>
  <si>
    <t xml:space="preserve"> Worksheet H Supporting Taxes Other than Income</t>
  </si>
  <si>
    <t xml:space="preserve"> Worksheet N - Gains (Losses) on Sales of Plant Held For Future Use</t>
  </si>
  <si>
    <t xml:space="preserve">           Acct 930.1 - Only safety related ads -Direct</t>
  </si>
  <si>
    <t xml:space="preserve">           Acct 930.2 - Misc Gen. Exp. - Trans</t>
  </si>
  <si>
    <t>Development of Common Stock:</t>
  </si>
  <si>
    <t xml:space="preserve">Proprietary Capital </t>
  </si>
  <si>
    <t>Common Stock</t>
  </si>
  <si>
    <t>N</t>
  </si>
  <si>
    <t xml:space="preserve">  Customer Related Expense</t>
  </si>
  <si>
    <t xml:space="preserve">  Regional Marketing Expenses</t>
  </si>
  <si>
    <t>TOTAL O&amp;M EXPENSES</t>
  </si>
  <si>
    <t xml:space="preserve">TOTAL REVENUE REQUIREMENT </t>
  </si>
  <si>
    <t xml:space="preserve">  Annual Rate</t>
  </si>
  <si>
    <t xml:space="preserve">  Monthly Rate</t>
  </si>
  <si>
    <t xml:space="preserve">   Project ROE Incentive Adder</t>
  </si>
  <si>
    <t>Weighted cost</t>
  </si>
  <si>
    <t>Rev Require</t>
  </si>
  <si>
    <t xml:space="preserve"> W Incentives</t>
  </si>
  <si>
    <t>Incentive Amounts</t>
  </si>
  <si>
    <t>Long Term Debt</t>
  </si>
  <si>
    <t>Preferred Stock</t>
  </si>
  <si>
    <t>Actual after True-up</t>
  </si>
  <si>
    <t>R =</t>
  </si>
  <si>
    <t>PROJECTED YEAR</t>
  </si>
  <si>
    <t xml:space="preserve">   Return (Rate Base  x  R)</t>
  </si>
  <si>
    <t xml:space="preserve">   Return   (from B. above)</t>
  </si>
  <si>
    <t xml:space="preserve">   Income Tax Calculation  (Return  x  CIT)</t>
  </si>
  <si>
    <t xml:space="preserve">   Income Taxes</t>
  </si>
  <si>
    <t xml:space="preserve">   Income Taxes  (from I.C. above)</t>
  </si>
  <si>
    <t>Calculation of Composite Depreciation Rate</t>
  </si>
  <si>
    <t>Composite Depreciation Rate</t>
  </si>
  <si>
    <t>Depreciable Life for Composite Depreciation Rate</t>
  </si>
  <si>
    <t>Round to nearest whole year</t>
  </si>
  <si>
    <t xml:space="preserve">   (e.g. ER05-925-000)</t>
  </si>
  <si>
    <t>Investment</t>
  </si>
  <si>
    <t>Current Year</t>
  </si>
  <si>
    <t>TRUE UP OF PROJECT REVENUE REQUIREMENT FOR PRIOR YEAR:</t>
  </si>
  <si>
    <t>Service Year (yyyy)</t>
  </si>
  <si>
    <t>ROE increase accepted by FERC (Basis Points)</t>
  </si>
  <si>
    <t>Service Month (1-12)</t>
  </si>
  <si>
    <t>FCR w/o incentives, less depreciation</t>
  </si>
  <si>
    <t>Useful life</t>
  </si>
  <si>
    <t>FCR w/incentives approved for these facilities, less dep.</t>
  </si>
  <si>
    <t>CIAC (Yes or No)</t>
  </si>
  <si>
    <t>Annual Depreciation Expense</t>
  </si>
  <si>
    <t>Beginning</t>
  </si>
  <si>
    <t>Depreciation</t>
  </si>
  <si>
    <t>Ending</t>
  </si>
  <si>
    <t>True-up of Incentive</t>
  </si>
  <si>
    <t xml:space="preserve">w/o Incentives </t>
  </si>
  <si>
    <t>Project Totals</t>
  </si>
  <si>
    <t xml:space="preserve">should be incremented by the amount of the incentive revenue calculated for that year on this project. </t>
  </si>
  <si>
    <t>Determine the Revenue Requirement, and Additional Revenue Requirement for facilities receiving incentives.</t>
  </si>
  <si>
    <t>A. Base Plan Facilities</t>
  </si>
  <si>
    <t>Facilities receiving incentives accepted by FERC in Docket No.</t>
  </si>
  <si>
    <t>Project Description:</t>
  </si>
  <si>
    <t>Details</t>
  </si>
  <si>
    <t>Incentive Rev.</t>
  </si>
  <si>
    <t>Current Projected Year ARR</t>
  </si>
  <si>
    <t>Current Projected Year ARR w/ Incentive</t>
  </si>
  <si>
    <t>w/o Incentives</t>
  </si>
  <si>
    <r>
      <t xml:space="preserve">   Return   (from </t>
    </r>
    <r>
      <rPr>
        <sz val="10"/>
        <rFont val="MS Serif"/>
        <family val="1"/>
      </rPr>
      <t>I</t>
    </r>
    <r>
      <rPr>
        <sz val="10"/>
        <rFont val="Arial"/>
        <family val="2"/>
      </rPr>
      <t>.B. above)</t>
    </r>
  </si>
  <si>
    <r>
      <t>with Incentives</t>
    </r>
    <r>
      <rPr>
        <b/>
        <sz val="10"/>
        <color indexed="10"/>
        <rFont val="Arial"/>
        <family val="2"/>
      </rPr>
      <t xml:space="preserve"> **</t>
    </r>
  </si>
  <si>
    <t>TOTAL DEPRECIATION AND AMORTIZATI0N</t>
  </si>
  <si>
    <t xml:space="preserve">   ITC Adjustment  </t>
  </si>
  <si>
    <t>(Note D)</t>
  </si>
  <si>
    <t>O</t>
  </si>
  <si>
    <t xml:space="preserve">  Prepayments (Account 165) - Transmission Only</t>
  </si>
  <si>
    <t>Account</t>
  </si>
  <si>
    <t>Gross Receipts Tax</t>
  </si>
  <si>
    <t>Federal Excise Tax</t>
  </si>
  <si>
    <t>Property</t>
  </si>
  <si>
    <t>Non-Allocable</t>
  </si>
  <si>
    <t xml:space="preserve"> Total Taxes by Allocable Basis</t>
  </si>
  <si>
    <r>
      <t xml:space="preserve">NOTE:  The net amount of hedging gains or losses recorded in account 427 to be recovered in this formula rate should be limited to the effective portion of pre-issuance cash flow hedges that are amortized over the life of the underlying debt issuances.  The recovery of a net loss or passback of a net gain will be limited to five basis points of the total Capital Structure.  </t>
    </r>
    <r>
      <rPr>
        <u/>
        <sz val="11"/>
        <rFont val="Arial"/>
        <family val="2"/>
      </rPr>
      <t>Amounts related to the ineffective portion of pre-issuance hedges, cash settlements of fair value hedges issued on Long Term Debt, post-issuance cash flow hedges, and cash flow hedges of variable rate debt issuances are not recoverable in this formula and are to be recorded in the “Excludable” column below.</t>
    </r>
  </si>
  <si>
    <t>Year End Total Agrees to FF1 p.112, Ln 3, col (c ) &amp; (d)</t>
  </si>
  <si>
    <t xml:space="preserve">Federal Unemployment Tax </t>
  </si>
  <si>
    <t xml:space="preserve">State Unemployment Insurance </t>
  </si>
  <si>
    <t xml:space="preserve">State Public Service Commission Fees </t>
  </si>
  <si>
    <t xml:space="preserve">State Franchise Taxes </t>
  </si>
  <si>
    <t xml:space="preserve">State Lic/Registration Fee  </t>
  </si>
  <si>
    <t xml:space="preserve">Misc. State and Local Tax </t>
  </si>
  <si>
    <t xml:space="preserve">Sales &amp; Use </t>
  </si>
  <si>
    <t xml:space="preserve">Federal Insurance Contribution (FICA ) </t>
  </si>
  <si>
    <t xml:space="preserve">Miscellaneous Taxes </t>
  </si>
  <si>
    <t>Revenue Taxes</t>
  </si>
  <si>
    <t>Real Estate and Personal Property Taxes</t>
  </si>
  <si>
    <t xml:space="preserve">Payroll Taxes </t>
  </si>
  <si>
    <t>DEFERRED TAX ADJUSTMENTS TO RATE BASE</t>
  </si>
  <si>
    <t>REGULATORY ASSETS</t>
  </si>
  <si>
    <t xml:space="preserve">     Less: Total Account 561</t>
  </si>
  <si>
    <t xml:space="preserve">               Acct. 928, Reg. Com. Exp.</t>
  </si>
  <si>
    <t xml:space="preserve">  Less:    Acct. 924, Property Insurance</t>
  </si>
  <si>
    <t xml:space="preserve">               Acct. 930.2, Misc. Gen. Exp.</t>
  </si>
  <si>
    <t xml:space="preserve">     Less: Regulatory Deferrals &amp; Amortizations</t>
  </si>
  <si>
    <t>Transmsission</t>
  </si>
  <si>
    <t>General</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</si>
  <si>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</si>
  <si>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</si>
  <si>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</si>
  <si>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</si>
  <si>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</si>
  <si>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</si>
  <si>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 xml:space="preserve">Income Tax Calculation </t>
  </si>
  <si>
    <t xml:space="preserve">     ITC adjustment</t>
  </si>
  <si>
    <t>(Note R)</t>
  </si>
  <si>
    <t>The currently effective income tax rate,  where FIT is the Federal income tax rate; SIT is the State income tax rate, and p =</t>
  </si>
  <si>
    <t xml:space="preserve">         Inputs Required:</t>
  </si>
  <si>
    <t>FIT =</t>
  </si>
  <si>
    <t>SIT=</t>
  </si>
  <si>
    <t>p =</t>
  </si>
  <si>
    <t xml:space="preserve">  (percent of federal income tax deductible for state purposes)</t>
  </si>
  <si>
    <t>P</t>
  </si>
  <si>
    <t>Q</t>
  </si>
  <si>
    <t>R</t>
  </si>
  <si>
    <t>S</t>
  </si>
  <si>
    <t>NOTE C</t>
  </si>
  <si>
    <t>Includes only FICA, unemployment, highway, property and other assessments charged in the current year.  Gross receipts, sales &amp; use and taxes related to income are excluded.</t>
  </si>
  <si>
    <t>RTEP Rev. Req't.</t>
  </si>
  <si>
    <t xml:space="preserve">          TEMPLATE BELOW TO MAINTAIN HISTORY OF PROJECTED ARRS OVER THE </t>
  </si>
  <si>
    <t>RTEP Projected Rev. Req't.From Prior Year WS J</t>
  </si>
  <si>
    <t>HEDGE AMOUNTS BY ISSUANCE (FROM p. 256-257 (i) of the FERC Form 1)</t>
  </si>
  <si>
    <t>Note: Regulatory Assets &amp; Liabilities can only be included in ratebase pursuant to a 205 filing with the FERC.</t>
  </si>
  <si>
    <t xml:space="preserve">Less: Account 216.1 </t>
  </si>
  <si>
    <t xml:space="preserve">          TEMPLATE BELOW TO MAINTAIN HISTORY OF TRUED-UP ARRS OVER THE </t>
  </si>
  <si>
    <t xml:space="preserve">         LIFE OF THE PROJECT.</t>
  </si>
  <si>
    <t>RTEP Rev Req't True-up</t>
  </si>
  <si>
    <t>RTEP Projected Rev. Req't.From Prior Year Template</t>
  </si>
  <si>
    <t>RTEP  Rev Req't True-up</t>
  </si>
  <si>
    <t>Less: Account 219</t>
  </si>
  <si>
    <t>Less: Preferred Stock</t>
  </si>
  <si>
    <t>1) Forfeited Discounts.</t>
  </si>
  <si>
    <t>2) Miscellaneous Service Revenues.</t>
  </si>
  <si>
    <t>5) Other electric revenues.</t>
  </si>
  <si>
    <t>6) Revenues for grandfathered PTP contracts included in the load divisor.</t>
  </si>
  <si>
    <t>NET PLANT CARRYING CHARGE w/o intra-AEP charges or credits or ROE incentives (Note B)</t>
  </si>
  <si>
    <t>FF1, page 214, ln 47, Col. (d)</t>
  </si>
  <si>
    <t xml:space="preserve">  Less: Distribution ARO (Enter Negative) </t>
  </si>
  <si>
    <t xml:space="preserve">  Less: General Plant ARO (Enter Negative) </t>
  </si>
  <si>
    <t xml:space="preserve">  Less: Production ARO (Enter Negative) </t>
  </si>
  <si>
    <t xml:space="preserve">  Less: Transmission ARO (Enter Negative) </t>
  </si>
  <si>
    <t>FF1, page 219, lns 20-24, Col. (b)</t>
  </si>
  <si>
    <t>FF1, page 219, ln 25, Col. (b)</t>
  </si>
  <si>
    <t>(Total Company Amount Ties to FFI p.114, Ln 14,(c))</t>
  </si>
  <si>
    <t>June</t>
  </si>
  <si>
    <t>Subtotal - Form 1, p 111.57.d</t>
  </si>
  <si>
    <t>Total O&amp;M Allocable to Transmission</t>
  </si>
  <si>
    <t xml:space="preserve">AEP East Companies </t>
  </si>
  <si>
    <t>Transmission Cost of Service Formula Rate</t>
  </si>
  <si>
    <t>AEP East Companies</t>
  </si>
  <si>
    <t xml:space="preserve">ITC Balances Includeable Ratebase </t>
  </si>
  <si>
    <t>Requirement ##</t>
  </si>
  <si>
    <t>Note: Gain or loss on plant held for future are recorded in accounts 411.6 or 411.7 respectiviely.  Sales will be funtionalized based on the description of that asset. Sales of transmission assets will be direct assigned; sales of general assets will be functionalized on labor.  Sales of plant held for future use related to generation or distribution will not be included in the formula.</t>
  </si>
  <si>
    <t>AEP EAST COMPANIES</t>
  </si>
  <si>
    <t>Worksheet  - P CALCULATION OF</t>
  </si>
  <si>
    <t>TOTAL WEIGHTED AVERAGE DEPRECIATION RATES</t>
  </si>
  <si>
    <t>FOR TRANSMISSION PLANT PROPERTY ACCOUNT</t>
  </si>
  <si>
    <t>FOR MULTIPLE JURISDICTION COMPANIES</t>
  </si>
  <si>
    <t>FERC WHOLESALE</t>
  </si>
  <si>
    <t>COMPANY</t>
  </si>
  <si>
    <t>WTD AVG.</t>
  </si>
  <si>
    <t>PLANT</t>
  </si>
  <si>
    <t>ALLOCATION</t>
  </si>
  <si>
    <t>DEPREC.</t>
  </si>
  <si>
    <t>APPROVED</t>
  </si>
  <si>
    <t>ACCT.</t>
  </si>
  <si>
    <t>RATES</t>
  </si>
  <si>
    <t>RATE</t>
  </si>
  <si>
    <t xml:space="preserve"> TRANSMISSION PLANT</t>
  </si>
  <si>
    <t xml:space="preserve">  Structures &amp; Improvements</t>
  </si>
  <si>
    <t xml:space="preserve">  Station Equipment</t>
  </si>
  <si>
    <t xml:space="preserve">  Towers &amp; Fixtures</t>
  </si>
  <si>
    <t xml:space="preserve">  Poles &amp; Fixtures</t>
  </si>
  <si>
    <t xml:space="preserve">  Underground Conduit</t>
  </si>
  <si>
    <t xml:space="preserve">  Underground Conductors</t>
  </si>
  <si>
    <t>GENERAL NOTES:</t>
  </si>
  <si>
    <t xml:space="preserve"> O &amp; M EXPENSE SUBTOTAL</t>
  </si>
  <si>
    <t xml:space="preserve">Includes functional wages &amp; salaries billed by AEP Service Corporation  for support of the operating company. </t>
  </si>
  <si>
    <t>321.112.b</t>
  </si>
  <si>
    <t>322.131.b</t>
  </si>
  <si>
    <t>323.185.b</t>
  </si>
  <si>
    <t>336.7.f</t>
  </si>
  <si>
    <t>336.10.f</t>
  </si>
  <si>
    <t>336.1.f</t>
  </si>
  <si>
    <t>(Note N)</t>
  </si>
  <si>
    <t>336.8.f</t>
  </si>
  <si>
    <t>336.2-6.f</t>
  </si>
  <si>
    <t xml:space="preserve"> (Note O)</t>
  </si>
  <si>
    <t>T</t>
  </si>
  <si>
    <t>(Note S)</t>
  </si>
  <si>
    <t xml:space="preserve">       and FIT, SIT &amp; p are as given in Note O.</t>
  </si>
  <si>
    <t>354.23.b</t>
  </si>
  <si>
    <t>354.24,25,26.b</t>
  </si>
  <si>
    <t>354.20.b</t>
  </si>
  <si>
    <t>REVENUE REQUIREMENT FOR SCHEDULE 1A CHARGES</t>
  </si>
  <si>
    <t>Total 561 Internally Developed Costs</t>
  </si>
  <si>
    <t xml:space="preserve">Total Load Dispatch &amp; Scheduling (Account 561) </t>
  </si>
  <si>
    <t>FF1, p. 227, ln 8, Col. (c) &amp; (b)</t>
  </si>
  <si>
    <t>FF1, p. 227, ln 11, Col. (c) &amp; (b)</t>
  </si>
  <si>
    <t>FF1, p. 227, ln 16, Col. (c) &amp; (b)</t>
  </si>
  <si>
    <t>Distribution</t>
  </si>
  <si>
    <t>State Business &amp; Occupation Tax</t>
  </si>
  <si>
    <t>Production Taxes</t>
  </si>
  <si>
    <t>State Severance Taxes</t>
  </si>
  <si>
    <t>FF1, page 205 Col.(g) &amp; pg. 204 Col. (b), ln 46</t>
  </si>
  <si>
    <t>FF1, page 207 Col.(g) &amp; pg. 206 Col. (b), ln 58</t>
  </si>
  <si>
    <t>FF1, page 207 Col.(g) &amp; pg. 206 Col. (b), ln 75</t>
  </si>
  <si>
    <t>FF1, page 207 Col.(g) &amp; pg. 206 Col. (b), ln 74</t>
  </si>
  <si>
    <t>FF1, page 205 Col.(g) &amp; pg. 204 Col. (b), ln 5</t>
  </si>
  <si>
    <t>FF1, page 205&amp;204, Col.(g)&amp;(b), lns 15,24,34,44</t>
  </si>
  <si>
    <t xml:space="preserve">   Effective State Tax Rate</t>
  </si>
  <si>
    <t>FF1, p. 274 - 275, ln 5, Col. (k)</t>
  </si>
  <si>
    <t>Current Projected Year Incentive ARR</t>
  </si>
  <si>
    <t>SUMMARY OF PROJECTED ANNUAL RTEP  REVENUE REQUIREMENTS</t>
  </si>
  <si>
    <t>TRUE-UP YEAR</t>
  </si>
  <si>
    <t>As Projected in Prior Year WS J</t>
  </si>
  <si>
    <t>SUMMARY OF TRUED-UP ANNUAL REVENUE REQUIREMENTS FOR RTEPPROJECTS</t>
  </si>
  <si>
    <t>Prior Yr Projected</t>
  </si>
  <si>
    <t>Prior Yr True-Up</t>
  </si>
  <si>
    <t>True-Up Adjustment</t>
  </si>
  <si>
    <t xml:space="preserve">Average </t>
  </si>
  <si>
    <t>CUMULATIVE HISTORY OF PROJECTED ANNUAL REVENUE REQUIREMENTS:</t>
  </si>
  <si>
    <t>In order to calculate the proper monthly RTEP billing amount, PJM requires a 12 month revenue requirement for each RTEP project.  As a result, notwithstanding the fact that the project was in service for a partial year, the project revenue requirement in the year that the project goes into service has been annualized (shown at the full-year level) so that PJM will collect the correct monthly billings.</t>
  </si>
  <si>
    <t>Relative Valuation Factor</t>
  </si>
  <si>
    <t>Functional Property Tax Allocation</t>
  </si>
  <si>
    <t>Real and Personal Property - Other Jurisdictions</t>
  </si>
  <si>
    <t>REVENUE REQUIREMENT For All Company Facilities</t>
  </si>
  <si>
    <t>A.   Determine Annual Revenue Requirement less return and Income Taxes.</t>
  </si>
  <si>
    <t>354.22.b</t>
  </si>
  <si>
    <t>with Incentives **</t>
  </si>
  <si>
    <t xml:space="preserve"> Worksheet J Supporting Calculation of PROJECTED PJM RTEP Project Revenue Requirement Billed to Benefiting Zones</t>
  </si>
  <si>
    <t xml:space="preserve"> Worksheet K Supporting Calculation of TRUE-UP PJM RTEP Project Revenue Requirement Billed to Benefiting Zones</t>
  </si>
  <si>
    <t>FF1, p. 266-267, ln 8, Col. (h)</t>
  </si>
  <si>
    <t xml:space="preserve"> Worksheet B Supporting ADIT and ITC Balances</t>
  </si>
  <si>
    <t>Less:  Load Dispatch - Scheduling, System Control and Dispatch Services (321.88.b)</t>
  </si>
  <si>
    <t>Less:  Load Dispatch - Reliability, Planning &amp; Standards Development Services (321.92.b)</t>
  </si>
  <si>
    <t xml:space="preserve">   R   (from A. above)</t>
  </si>
  <si>
    <t>CUMULATIVE HISTORY OF TRUED-UP ANNUAL REVENUE REQUIREMENTS:</t>
  </si>
  <si>
    <t>additional incentive requirement is applicable for the life of this specific project.  Each year the revenue requirement calculated for PJM</t>
  </si>
  <si>
    <t>Revenue credits include:</t>
  </si>
  <si>
    <t>3) Rental revenues earned on assets included in the rate base.</t>
  </si>
  <si>
    <t>4) Revenues for associated business projects provided by employees whose labor and overhead costs are in the transmission cost of service.</t>
  </si>
  <si>
    <t>(Note I) (Worksheet F, ln 4.C)</t>
  </si>
  <si>
    <t>FF1, page 219, ln 28, Col. (b)</t>
  </si>
  <si>
    <t xml:space="preserve">Account 450, Forfeited Discounts  (FF1 p.300.16.(b); Company Records - Note 1) </t>
  </si>
  <si>
    <t xml:space="preserve">Account 451,Miscellaneous Service Revenues  (FF1 p.300.17.(b); Company Records - Note 1) </t>
  </si>
  <si>
    <t xml:space="preserve">Account 454, Rent from Electric Property (FF1 p.300.19.(b); Company Records - Note 1) </t>
  </si>
  <si>
    <t>Accounts  4470004 &amp; 5, Revenues from Grandfathered Transmission Contracts - (Company Records - Note 1)</t>
  </si>
  <si>
    <t xml:space="preserve">     Plus: Transmission Lease Payments To Affiliates in Acct 565 (Company Records) (Note H)</t>
  </si>
  <si>
    <t>See Worksheet E for details.</t>
  </si>
  <si>
    <t xml:space="preserve"> Worksheet F Supporting Allocation of Specific O&amp;M or  A&amp;G Expenses</t>
  </si>
  <si>
    <t>Financial Hedge Recovery Limit  - Five Basis Points of Total Capital</t>
  </si>
  <si>
    <t>Limit of Recoverable Amount</t>
  </si>
  <si>
    <t>T =  Transmission</t>
  </si>
  <si>
    <t>G = General</t>
  </si>
  <si>
    <t>(Gain) / Loss</t>
  </si>
  <si>
    <t>U</t>
  </si>
  <si>
    <t>Worksheet C Supporting Working Capital Rate Base Adjustments</t>
  </si>
  <si>
    <t>Regulatory O&amp;M Deferrals &amp; Amortizations</t>
  </si>
  <si>
    <t>Total Regulatory Deferrals Included in Ratebase</t>
  </si>
  <si>
    <t>(Note E)</t>
  </si>
  <si>
    <t>Note 1</t>
  </si>
  <si>
    <t>(I)</t>
  </si>
  <si>
    <t xml:space="preserve">Average of </t>
  </si>
  <si>
    <t>Balances</t>
  </si>
  <si>
    <t xml:space="preserve">Subtotal - Form 1, p 111.57.c  </t>
  </si>
  <si>
    <t>(FF1 p.114, ln 19.c)</t>
  </si>
  <si>
    <t xml:space="preserve">  (State Income Tax Rate or Composite SIT.  Worksheet G))</t>
  </si>
  <si>
    <t>Average</t>
  </si>
  <si>
    <t>FF1, page 219, ln 26, Col. (b)</t>
  </si>
  <si>
    <t>FF1, page 200, ln 21, Col. (b)</t>
  </si>
  <si>
    <t>Account 281</t>
  </si>
  <si>
    <t>Account 282</t>
  </si>
  <si>
    <t>Account 283</t>
  </si>
  <si>
    <t xml:space="preserve">Account 190 </t>
  </si>
  <si>
    <t>Account 255</t>
  </si>
  <si>
    <t>FF1, p. 234, ln 8, Col. (c)</t>
  </si>
  <si>
    <t>Year End Utility Deferrals</t>
  </si>
  <si>
    <t>Transmission Related Deferrals</t>
  </si>
  <si>
    <t>FF1, p. 272 - 273, ln 8, Col. (k)</t>
  </si>
  <si>
    <t>FF1, p. 276 - 277, ln 9, Col. (k)</t>
  </si>
  <si>
    <t>Less:  ARO Related Deferrals</t>
  </si>
  <si>
    <t>Less: Other Excluded Deferrals</t>
  </si>
  <si>
    <t>Year End ITC Balances</t>
  </si>
  <si>
    <t xml:space="preserve">Less:  Balances Not Qualified for Ratebase </t>
  </si>
  <si>
    <t xml:space="preserve">Plant </t>
  </si>
  <si>
    <t>Related</t>
  </si>
  <si>
    <t>(E)+(F)+(G)</t>
  </si>
  <si>
    <t>Prefunded Pension Expense</t>
  </si>
  <si>
    <t>Transmission Materials &amp; Supplies</t>
  </si>
  <si>
    <t xml:space="preserve"> Worksheet G Supporting - Development of Composite State Income Tax Rate</t>
  </si>
  <si>
    <t>General Materials &amp; Supplies</t>
  </si>
  <si>
    <t xml:space="preserve">  Stores Expense </t>
  </si>
  <si>
    <t>Excludable</t>
  </si>
  <si>
    <t>Plant Related Insurance Policies</t>
  </si>
  <si>
    <t>Excess Deferred Income Tax</t>
  </si>
  <si>
    <t>Tax Affect of Permanent Differences</t>
  </si>
  <si>
    <t>Facility Credits under PJM OATT Section 30.9</t>
  </si>
  <si>
    <t xml:space="preserve"> Revenue Requirement for PJM Schedule 12 Facilities (w/o incentives)  (Worksheet J/K)</t>
  </si>
  <si>
    <t>(Worksheet B, ln 2 &amp; ln 5.E)</t>
  </si>
  <si>
    <t>(Worksheet B, ln 7 &amp; ln 10.E)</t>
  </si>
  <si>
    <t>(Worksheet B, ln 12 &amp; ln 15.E)</t>
  </si>
  <si>
    <t>(Worksheet B, ln 17 &amp; ln 20.E)</t>
  </si>
  <si>
    <t>(Worksheet B, ln 24 &amp; ln 25.E)</t>
  </si>
  <si>
    <t>(Worksheet C, ln 2.(F))</t>
  </si>
  <si>
    <t>(Worksheet C, ln 3.(F))</t>
  </si>
  <si>
    <t>(Worksheet C, ln 4.(F))</t>
  </si>
  <si>
    <t>(Note F) (Worksheet D, ln 8.B)</t>
  </si>
  <si>
    <t xml:space="preserve"> (Note U)</t>
  </si>
  <si>
    <t xml:space="preserve"> Worksheet I RESERVED FOR FUTURE USE</t>
  </si>
  <si>
    <t xml:space="preserve"> Worksheet L Reserved for Future Use</t>
  </si>
  <si>
    <t>True-up Adjustment - Over (Under) Recovery</t>
  </si>
  <si>
    <t>Interest Rate on Amount of Refunds or Surcharges</t>
  </si>
  <si>
    <t>Over (Under) Recovery Plus Interest</t>
  </si>
  <si>
    <t>Average Monthly Interest Rate</t>
  </si>
  <si>
    <t>Months</t>
  </si>
  <si>
    <t>Calculated Interest</t>
  </si>
  <si>
    <t>Amortization</t>
  </si>
  <si>
    <t>Surcharge (Refund) Owed</t>
  </si>
  <si>
    <t xml:space="preserve"> from 35.19a  </t>
  </si>
  <si>
    <t>Calculation of Interest</t>
  </si>
  <si>
    <t>Monthly</t>
  </si>
  <si>
    <t>February</t>
  </si>
  <si>
    <t>October</t>
  </si>
  <si>
    <t>November</t>
  </si>
  <si>
    <t>Annual</t>
  </si>
  <si>
    <t>January  through December</t>
  </si>
  <si>
    <t>Over (Under) Recovery Plus Interest Amortized and Recovered Over 12 Months</t>
  </si>
  <si>
    <t>Less Over (Under) Recovery</t>
  </si>
  <si>
    <t>Total Interest</t>
  </si>
  <si>
    <t>Cost of Service Formula Rate Using Actual/Projected FF1 Balances</t>
  </si>
  <si>
    <t>Worksheet Q - True-up With Interest</t>
  </si>
  <si>
    <t>True-Up Adjustment with Interest</t>
  </si>
  <si>
    <t>Note 1:  The interest rate to be applied to the over recovery or under recovery amounts will be determined using the average monthly FERC interest rate (as determined pursuant to 18 C.F.R. Section 35.19a) for the twenty (20) months from the beginning of the rate year being trued-up through August 31 of the following year.</t>
  </si>
  <si>
    <t>(Worksheet C, ln 8.F)</t>
  </si>
  <si>
    <t>(Worksheet C, ln 8.G)</t>
  </si>
  <si>
    <t>(Worksheet C, ln 8.E)</t>
  </si>
  <si>
    <t>(Worksheet C, ln 8.D)</t>
  </si>
  <si>
    <t>7) If AEP East companies have any directly assigned transmission facilities, the revenue credits in the AEP East formula rate shall include all revenues associated with those directly assigned transmission facilities, irrespective of whether the loads of the customer are included in the formula rate divisor; provided however, such addition to revenue credits shall not be reflected if the costs of such directly assigned transmission facilities are not included in the transmission plant balances on which the formula rate ATRR is based.</t>
  </si>
  <si>
    <t>The company will not include the ADIT portion of deferred hedge gains and losses in rate base.  Detailed balances for the projected or actual period, distinguished between utility and non-utility balances, will be filed and posted as part of the information filing.</t>
  </si>
  <si>
    <t xml:space="preserve">The total-company balances shown for Accounts 281, 282, 283, 190 only reflect ADIT that relates to utility operations. The balance of Account 255 is reduced by prior flowthrough and is completely excluded if the utility chose to utilize amortization of tax credits against FIT expense. An exception to this is pre-1971 ITC balances, which are required to be taken as an offset to rate base. Account 281 is not allocated.  </t>
  </si>
  <si>
    <t>In compliance with FERC Rulemaking the calculation of ADIT in the annual projection will be performed in accordance with IRS regulation Section1.167(I)-I(h)(6)(ii).</t>
  </si>
  <si>
    <t>RM02-7-000, Asset Retirement Obligation deferrals have been removed from ratebase. Transmission ADIT allocations are shown on WS B.</t>
  </si>
  <si>
    <t xml:space="preserve">Removes the impact of state regulatory deferrals or their amortization from Transmission O&amp;M expense. </t>
  </si>
  <si>
    <t>Expenses recorded in FERC Accounts 928 (Regulatory Commission Expense), 930.1 (Safety Related Advertising) and 930.2 (Miscellaneouse General Expenses) that are not directly related to or properly allocable to transmission service will be removed from the TCOS.  If AEP includes any expenses booked to these accounts in future ATRR updates, AEP must provide supporting information demonstrating that the underlying activities are directly related to providing transmission service.  Account 930.2 includes the expenses incurred by the transmission function for Associated Business Development revenues given as a credit to the TCOS on Worksheet E.</t>
  </si>
  <si>
    <t>The cost rates for long-term debt shall include interest expense and related periodic expenses (such as remarketing and letter of credit fees) as recorded in FERC Account 427 or 430, amortization of issuance costs (including insurance) and discounts as recorded in FERC Account 428, issuance premiums as recorded in FERC Account 429 and losses or gains on reacquired debt as recorded in FERC Accounts 428.1 or 429.1, respectively.  The cost rates for preferred stock (if applicable) shall include the dividends.</t>
  </si>
  <si>
    <t>Cash investment in prepaid pension and benefits recorded in FERC Account 165 is permitted to be included in the formula.  A labor expense allocation factor will be used to allocate total company costs.  All other prepayments recorded in FERC Account 165 are directly assigned to the transmission function,  allocated or excludable balances detailed on Worksheet C.</t>
  </si>
  <si>
    <t>V</t>
  </si>
  <si>
    <t>X</t>
  </si>
  <si>
    <t>W</t>
  </si>
  <si>
    <t>The formula rate shall allocate property tax expense based on the as filed net plant cost allocation method detailed on Worksheet H.</t>
  </si>
  <si>
    <t>Under Section 30.9 of the PJM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</si>
  <si>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 xml:space="preserve">   Annual Revenue Requirement, Less Lease Payments, Return and Taxes</t>
  </si>
  <si>
    <t>ADDITIONAL REVENUE REQUIREMENT for projects w/ incentive ROE's (Note B) (Worksheet J/K)</t>
  </si>
  <si>
    <t xml:space="preserve">The formula rate shall reflect the applicable state and federal statutory tax rates in effect during the period the calculated estimated unit charges are applicable.  </t>
  </si>
  <si>
    <t>If the statutory tax rates change during such period, the effective tax rates used in the formula shall be weighted by the number of days the pre-change rate and post-change rate each is in effect.</t>
  </si>
  <si>
    <t>The annual and monthly net plant carrying charges on page 1 are used to compute the revenue requirement for RTEP sponsored upgrades or those projects receiving approved incentive-ROE's.  Interest  will be calculated based on Worksheet Q and any over under recovery will be filed and posted as part of the informational filing.</t>
  </si>
  <si>
    <t xml:space="preserve">**  This is the total amount that needs to be reported to PJM for billing to all regions. </t>
  </si>
  <si>
    <t>## This is the calculation of  additional incentive revenue on projects deemed by the FERC to be eligible for an incentive return.  This</t>
  </si>
  <si>
    <t>VIRGINIA</t>
  </si>
  <si>
    <t>WEST VIRGINIA</t>
  </si>
  <si>
    <t>FERC KINGSPORT</t>
  </si>
  <si>
    <t>PSC OF WV</t>
  </si>
  <si>
    <t>VA SCC</t>
  </si>
  <si>
    <t>FACTOR  (5)</t>
  </si>
  <si>
    <t xml:space="preserve">  Land Rights - Va.</t>
  </si>
  <si>
    <t xml:space="preserve">  Energy Storage Equip</t>
  </si>
  <si>
    <t xml:space="preserve">  Overhead Conductor</t>
  </si>
  <si>
    <t xml:space="preserve">(4)  </t>
  </si>
  <si>
    <t xml:space="preserve">(5)  </t>
  </si>
  <si>
    <t>Attachment H-14B, Part II, pg. 15 of 21.</t>
  </si>
  <si>
    <t xml:space="preserve">(6)  </t>
  </si>
  <si>
    <t>APCo falls under the authority of Virginia, West Virginia and the FERC.  Therefore, APCo's rates are a composite of the jurisdictions under which it operates. Each jurisdictions' rate is multiplied by an allocation factor, and the product for each jurisdiction is added with the other jurisdictions to derive the composite rate for the company.</t>
  </si>
  <si>
    <t xml:space="preserve">(Worksheet E Ln 8) (Note A) </t>
  </si>
  <si>
    <t>(Worksheet E Ln 9) (Note X)</t>
  </si>
  <si>
    <t>Note 2</t>
  </si>
  <si>
    <t>The total of line 4 and line 5 will equal total Account 456 as listed on FF1 p.300.21-22.(b)</t>
  </si>
  <si>
    <t>5a</t>
  </si>
  <si>
    <t>5b</t>
  </si>
  <si>
    <t>Account 457.2, Miscellaneous Revenues (FF1p.300.24.(b); Company Records - Note 1)</t>
  </si>
  <si>
    <t>Account 457.1, Regional Control Service  Revenues (FF1 p.300.23.(b); Company Records - Note 1)</t>
  </si>
  <si>
    <t>Total (FERC Form 1 p.323.189.b)</t>
  </si>
  <si>
    <t>Total (FERC Form 1 p.323.191.b)</t>
  </si>
  <si>
    <t>Total (FERC Form 1 p.323.192.b)</t>
  </si>
  <si>
    <t>Gross Proceeds Outstanding Long-Term Debt</t>
  </si>
  <si>
    <t>Y</t>
  </si>
  <si>
    <t>Note 1:</t>
  </si>
  <si>
    <t>Transmission Accum Depreciation net of GSU</t>
  </si>
  <si>
    <t>December  of Rate Year</t>
  </si>
  <si>
    <t xml:space="preserve">August </t>
  </si>
  <si>
    <t xml:space="preserve">March </t>
  </si>
  <si>
    <t>December Prior to Rate Year</t>
  </si>
  <si>
    <t>Company Records</t>
  </si>
  <si>
    <t>(Note A)</t>
  </si>
  <si>
    <t>(e)</t>
  </si>
  <si>
    <t>(d)</t>
  </si>
  <si>
    <t>(c)</t>
  </si>
  <si>
    <t>(b)</t>
  </si>
  <si>
    <t>(a)</t>
  </si>
  <si>
    <t>Excluded Plant  - Accumulated Depreciation</t>
  </si>
  <si>
    <t>Excluded Plant  - Plant In Service</t>
  </si>
  <si>
    <t>OATT Ancillary Services (GSU) Accumulated Depreciation</t>
  </si>
  <si>
    <t>OATT Ancillary Services (GSU) Plant In Service</t>
  </si>
  <si>
    <t>Month</t>
  </si>
  <si>
    <t>Line 
No</t>
  </si>
  <si>
    <t>(j)</t>
  </si>
  <si>
    <t>(i)</t>
  </si>
  <si>
    <t>(h)</t>
  </si>
  <si>
    <t>Intangible</t>
  </si>
  <si>
    <t>General ARO</t>
  </si>
  <si>
    <t>Distribution ARO</t>
  </si>
  <si>
    <t>Transmission ARO</t>
  </si>
  <si>
    <t>Production ARO</t>
  </si>
  <si>
    <t>Accumulated Depreciation</t>
  </si>
  <si>
    <t>Gross Plant In Service</t>
  </si>
  <si>
    <t xml:space="preserve"> Worksheet A Rate Base</t>
  </si>
  <si>
    <t>(f)</t>
  </si>
  <si>
    <t>(g)</t>
  </si>
  <si>
    <t>Acct. 359.1
FF1, page 207 Col.(g) &amp; pg. 206 Col. (b), ln 57</t>
  </si>
  <si>
    <t xml:space="preserve">
FF1, page 207 Col.(g) &amp; pg. 206 Col. (b), ln 99</t>
  </si>
  <si>
    <t>Acct. 399.1
FF1, page 207 Col.(g) &amp; pg. 206 Col. (b), ln 98</t>
  </si>
  <si>
    <t>Company Records (Included in total in Column (b))</t>
  </si>
  <si>
    <t>Company Records (Included in total in Column (d))</t>
  </si>
  <si>
    <t>Company Records (Included in total in Column (f))</t>
  </si>
  <si>
    <t>Company Records (Included in total in Column (h))</t>
  </si>
  <si>
    <t>Company Records (included in total in column (d) of gross plant above)</t>
  </si>
  <si>
    <t>Company Records (included in total in column (b) of accumulated depreciation above)</t>
  </si>
  <si>
    <t>Tax Year</t>
  </si>
  <si>
    <t>NOTE 2: The ratebase should not include the unamoritzed balance of hedging gains or losses.</t>
  </si>
  <si>
    <t xml:space="preserve">NOTE 1: On this worksheet, "Company Records" refers to AEP's property accounting ledger. </t>
  </si>
  <si>
    <t>Worksheet M Supporting Calculation of Capital Structure and Weighted Average Cost of Capital</t>
  </si>
  <si>
    <t>Proprietary Capital</t>
  </si>
  <si>
    <t>Less Undistributed Sub Earnings (Acct 216.1)</t>
  </si>
  <si>
    <t>Less AOCI (Acct 219.1)</t>
  </si>
  <si>
    <t>(f)=(b)-( c)-(d)-( e)</t>
  </si>
  <si>
    <t xml:space="preserve"> (FF1 112.16)</t>
  </si>
  <si>
    <t xml:space="preserve"> (FF1 250-251)</t>
  </si>
  <si>
    <t xml:space="preserve"> (FF1 112.12)</t>
  </si>
  <si>
    <t>(FF1 112.15)</t>
  </si>
  <si>
    <t>Average Balance of Long Term Debt</t>
  </si>
  <si>
    <t>Less: Fair Value Hedges</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</si>
  <si>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</si>
  <si>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</si>
  <si>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</si>
  <si>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</si>
  <si>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</si>
  <si>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</si>
  <si>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</si>
  <si>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Acct 224
Senior Unsecured Notes</t>
  </si>
  <si>
    <t>Acct 223 
LT Advances from Assoc. Companies</t>
  </si>
  <si>
    <t>Less: Acct 222 Reacquired Bonds</t>
  </si>
  <si>
    <t>Acct 221 
Bonds</t>
  </si>
  <si>
    <t>(DEBIT)  CREDIT</t>
  </si>
  <si>
    <t>COLUMN A</t>
  </si>
  <si>
    <t>COLUMN B</t>
  </si>
  <si>
    <t>COLUMN C</t>
  </si>
  <si>
    <t>COLUMN D</t>
  </si>
  <si>
    <t>COLUMN E</t>
  </si>
  <si>
    <t>COLUMN F</t>
  </si>
  <si>
    <t>COLUMN G</t>
  </si>
  <si>
    <t>COLUMN H</t>
  </si>
  <si>
    <t>COLUMN I</t>
  </si>
  <si>
    <t>COLUMN J</t>
  </si>
  <si>
    <t>COLUMN K</t>
  </si>
  <si>
    <t>COLUMN L</t>
  </si>
  <si>
    <t>COLUMN M</t>
  </si>
  <si>
    <t>COLUMN N</t>
  </si>
  <si>
    <t>COLUMN O</t>
  </si>
  <si>
    <t>PER BOOKS</t>
  </si>
  <si>
    <t>NON-APPLICABLE/NON-UTILITY</t>
  </si>
  <si>
    <t>AVERAGE</t>
  </si>
  <si>
    <t>FUNCTIONALIZATION AVERAGE</t>
  </si>
  <si>
    <t xml:space="preserve">ELECTRIC </t>
  </si>
  <si>
    <t>BALANCE AS</t>
  </si>
  <si>
    <t>UTILITY</t>
  </si>
  <si>
    <t>ACCUMULATED DEFERRED FIT ITEMS</t>
  </si>
  <si>
    <t>(B+C+D+E)/2</t>
  </si>
  <si>
    <t>GENERATION</t>
  </si>
  <si>
    <t>TRANSMISSION</t>
  </si>
  <si>
    <t>DISTRIBUTION</t>
  </si>
  <si>
    <t>ACCOUNT 281:</t>
  </si>
  <si>
    <t>TOTAL ACCOUNT 281</t>
  </si>
  <si>
    <t>ACCOUNT 282:</t>
  </si>
  <si>
    <t>TOTAL ACOUNT 282</t>
  </si>
  <si>
    <t>ACCOUNT 283:</t>
  </si>
  <si>
    <t>DEFD STATE INCOME TAXES</t>
  </si>
  <si>
    <t>TOTAL ACCOUNT 283</t>
  </si>
  <si>
    <t>JURISDICTIONAL AMOUNTS FUNCTIONALIZED</t>
  </si>
  <si>
    <t>TOTAL COMPANY AMOUNTS FUNCTIONALIZED</t>
  </si>
  <si>
    <t>REFUNCTIONALIZED BASED ON JURISDICTIONAL PLANT</t>
  </si>
  <si>
    <t>NOTE:  POST 1970 ACCUMULATED DEFERRED</t>
  </si>
  <si>
    <t xml:space="preserve">             INV TAX CRED. (JDITC) IN A/C 255</t>
  </si>
  <si>
    <t>TOTAL ACCOUNT 255</t>
  </si>
  <si>
    <t>DEBIT  (CREDIT)</t>
  </si>
  <si>
    <t>ACCOUNT 190:</t>
  </si>
  <si>
    <t>TOTAL ACCOUNT 190</t>
  </si>
  <si>
    <t>ACCOUNT 282 - ARO-Related Deferals</t>
  </si>
  <si>
    <t>ACCOUNT 283 - ARO-Related Deferals</t>
  </si>
  <si>
    <t>ACCOUNT 190 - ARO-Related Deferals</t>
  </si>
  <si>
    <t>ACCOUNT 281 - ARO-Related Deferrals</t>
  </si>
  <si>
    <t>UNFUNDED RESERVES (ENTER NEGATIVE) (NOTE Y)</t>
  </si>
  <si>
    <t>Tax Effect of Permanent and Flow-Through Differences</t>
  </si>
  <si>
    <t>323.197.b (Notes J and M)</t>
  </si>
  <si>
    <t>53a</t>
  </si>
  <si>
    <t>53b</t>
  </si>
  <si>
    <t>Real Estate and Personal Property Taxes Total
(Ln 4 + Ln 5 + Ln 6 + Ln 7)</t>
  </si>
  <si>
    <t>Transmission Function
(Note 2)</t>
  </si>
  <si>
    <t>Total
Company</t>
  </si>
  <si>
    <t>FERC FORM 1
Tie-Back</t>
  </si>
  <si>
    <t>Real Estate and Personal Propety Tax Detail 
Annual Tax Expenses by Type (Note 1)</t>
  </si>
  <si>
    <t>Unfunded Reserves Summary (Company Records)</t>
  </si>
  <si>
    <t>GP</t>
  </si>
  <si>
    <r>
      <t>NP</t>
    </r>
    <r>
      <rPr>
        <b/>
        <strike/>
        <sz val="12"/>
        <color indexed="10"/>
        <rFont val="Arial"/>
        <family val="2"/>
      </rPr>
      <t/>
    </r>
  </si>
  <si>
    <t>Excess / (Deficit) Deferred Income Taxes will be amortized over the average remaining life of the assets to which it relates, unless the Commission requires a different amortization period. The Tax Effect of Permanent Differences captures the differences in the income taxes due under the Federal and State tax calculations that are not the result of a timing difference, including but not limited to depreciation related to capitalized AFUDC equity and meals and entertainment deductions. The Tax Effect of Flow-Through differences captures current tax expense related to timing differences on items for which tax deductions were used to reduce customer rates through the use of flow-through accounting in a prior period.  Transmission balances for the projected or actual period, will be filed and posted as part of the informational filing.</t>
  </si>
  <si>
    <t>Prepayment Balance Summary (Note 1)</t>
  </si>
  <si>
    <t>Stores Expense (Undistributed) - Account 163</t>
  </si>
  <si>
    <t>Account 4560015, Associated Business Development - (Company Records - Notes 1, 2)</t>
  </si>
  <si>
    <t>Account 456 - Other Electric Revenues - (Company Records - Notes 1,2)</t>
  </si>
  <si>
    <t>Note 1: The taxes assessed on each operating company can differ from year to year and between operating companies by both the type of taxes and the states in which they were assessed.  Therefore, for each company, the types and jurisdictions of tax expense recorded on this page could differ from the same page in the same company's prior year template or from this page in other operating companies' current year templates. For each update, this sheet will be revised to ensure that the total activity recorded hereon equals the total reported in account 408.1 on P. 114, Ln 14.(c) of the Ferc Form 1.</t>
  </si>
  <si>
    <t>Interest on Long Term Debt - Accts 221 - 224 (256-257.33.i)</t>
  </si>
  <si>
    <t>Amort of Debt Discount &amp; Expense - Acct 428 (117.63.c)</t>
  </si>
  <si>
    <t>Amort of Loss on Reacquired Debt - Acct 428.1 (117.64.c)</t>
  </si>
  <si>
    <t>Less: Amort of Premium on Debt - Acct 429 (117.65.c)</t>
  </si>
  <si>
    <t>Less: Amort of Gain on Reacquired Debt - Acct 429.1 (117.66.c)</t>
  </si>
  <si>
    <t>Worksheet K -  ATRR TRUE-UP Calculation for PJM Projects Charged to Benefiting Zones</t>
  </si>
  <si>
    <t>INDIANA MICHIGAN POWER COMPANY</t>
  </si>
  <si>
    <t>INDIANA</t>
  </si>
  <si>
    <t>MPSC</t>
  </si>
  <si>
    <t>IURC</t>
  </si>
  <si>
    <t>FACTOR  (4)</t>
  </si>
  <si>
    <t xml:space="preserve">  Land Improvements</t>
  </si>
  <si>
    <t xml:space="preserve">  Overhead Conductors</t>
  </si>
  <si>
    <t xml:space="preserve">  Trails &amp; Roads</t>
  </si>
  <si>
    <t xml:space="preserve">  (4) The rates approved for each jurisdiction are updated when approved by that commission.  These demand-based allocation factors for all jurisdictions are updated when new rates are approved in one of the jurisdictions.  These allocation factors reflect I&amp;M's 12 monthly Coincident Peaks during test year of the most recent rate case.</t>
  </si>
  <si>
    <t>I&amp;M falls under the authority of Indiana, Michigan and the FERC.  Therefore, I&amp;M's rates are a composite of the jurisdictions under which it operates. Each jurisdictions' rate is multiplied by an allocation factor, and the product for each jurisdiction is added with the other jurisdictions to derive the composite rate for the company.</t>
  </si>
  <si>
    <t>PJM FORMULA RATE</t>
  </si>
  <si>
    <t>WORKSHEET P - TRANSMISSION DEPRECIATION RATES</t>
  </si>
  <si>
    <t>EFFECTIVE AS OF 09/1/2016</t>
  </si>
  <si>
    <t>FOR SINGLE JURISDICTION COMPANIES</t>
  </si>
  <si>
    <t>KINGSPORT POWER COMPANY</t>
  </si>
  <si>
    <t xml:space="preserve">  Composite Transmission Depreciation Rate</t>
  </si>
  <si>
    <t>Reference:</t>
  </si>
  <si>
    <t>Note 1:   Rates Approved In Tennessee Regulatory Authority Docket No. 16-00001.</t>
  </si>
  <si>
    <t>Note 2:  Kingsport Power Company does not have investment in plant accounts 357 or 358.  Therefore, there are no depreciation rates approved for these plant accounts.</t>
  </si>
  <si>
    <t>General Note</t>
  </si>
  <si>
    <t>EFFECTIVE AS OF 07/1/2015</t>
  </si>
  <si>
    <t>KENTUCKY  POWER COMPANY</t>
  </si>
  <si>
    <t xml:space="preserve">  Land Rights</t>
  </si>
  <si>
    <t>Note 1:  Rates Approved in KPSC Case No. 2014-00396.</t>
  </si>
  <si>
    <t>OHIO POWER COMPANY</t>
  </si>
  <si>
    <t xml:space="preserve">   Twrs and Fixtures Above 69 KV</t>
  </si>
  <si>
    <t xml:space="preserve">   Twrs and Fixtures Below 69 KV</t>
  </si>
  <si>
    <t xml:space="preserve">   Poles and Fixtures Above 69 KV</t>
  </si>
  <si>
    <t xml:space="preserve">   Poles and Fixtures Below 69 KV</t>
  </si>
  <si>
    <t xml:space="preserve">   Overhead Conductor &amp; Devices Above 69KV</t>
  </si>
  <si>
    <t xml:space="preserve">   Overhead Conductor &amp; Devices MSP</t>
  </si>
  <si>
    <t xml:space="preserve">   Overhead Conductor &amp; Devices 138KV/Above</t>
  </si>
  <si>
    <t xml:space="preserve">   Overhead Conductor &amp; Devices 69KV/Below</t>
  </si>
  <si>
    <t xml:space="preserve">   Overhead Conductor &amp; Devices CLR 69KV/Below</t>
  </si>
  <si>
    <t>General Note:</t>
  </si>
  <si>
    <t>WHEELING POWER COMPANY</t>
  </si>
  <si>
    <t>-</t>
  </si>
  <si>
    <t>GENERAL PLANT</t>
  </si>
  <si>
    <t>Structures &amp; Improvements</t>
  </si>
  <si>
    <t>Office Furniture &amp; Equipment</t>
  </si>
  <si>
    <t>Stores Equipment</t>
  </si>
  <si>
    <t>Tools Shop &amp; Garage Equipment</t>
  </si>
  <si>
    <t>Laboratory Equipment</t>
  </si>
  <si>
    <t>Communication Equipment</t>
  </si>
  <si>
    <t>Miscellaneous Equipment</t>
  </si>
  <si>
    <t>Total General Plant</t>
  </si>
  <si>
    <t>On this worksheet, "Company Records" refers to AEP's tax forecast and accounting ledger.  The PTRR will use projected ending balances and reflect proration required by IRS Letter Rule Section I.I67(I)-I(h)(6)(ii).  Line item detail of actual deferred tax items will be included on Worksheets B-1 and B-2.</t>
  </si>
  <si>
    <t>Tax Year 
Factor
(Note 2)</t>
  </si>
  <si>
    <t>SPECIFIED DEFERRED CREDITS - Actual Cycle Only</t>
  </si>
  <si>
    <t>ACCUMULATED DEFERRED INCOME TAX IN ACCOUNT 190 - Actual Cycle Only</t>
  </si>
  <si>
    <t>Twelve Months Ended</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</si>
  <si>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</si>
  <si>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r>
      <t>Transmission Plant Held For Future Use</t>
    </r>
    <r>
      <rPr>
        <b/>
        <sz val="10"/>
        <rFont val="Arial"/>
        <family val="2"/>
      </rPr>
      <t xml:space="preserve"> (Included in total on line 44)</t>
    </r>
  </si>
  <si>
    <t>AEP will make a 205 filing whenever a company's rates are changed by their commission(s), or if the methodology to calculate the jurisdictional allocator in multiple-state companies changes.   Changes in the allocation factors will not necessitate a 205 filing.</t>
  </si>
  <si>
    <t>Total AEP East Operating Company PBOP Settlement Amount</t>
  </si>
  <si>
    <t>Total Company Amount</t>
  </si>
  <si>
    <t>Actual Expense (Including AEPSC Billed OPEB)</t>
  </si>
  <si>
    <t>Ratio of Company Actual to Total</t>
  </si>
  <si>
    <t>Allocation of PBOB Recovery Allowance</t>
  </si>
  <si>
    <t>One Year Functional Expense (Over)/Under</t>
  </si>
  <si>
    <t>Allowable Expense</t>
  </si>
  <si>
    <t>Line#</t>
  </si>
  <si>
    <t>Actual Expense</t>
  </si>
  <si>
    <t>(B)=(A)/Total (A)</t>
  </si>
  <si>
    <t>(E)=(A) * (D)</t>
  </si>
  <si>
    <t>(F)=(C) * (D)</t>
  </si>
  <si>
    <t>(G)=(E) - (F)</t>
  </si>
  <si>
    <t>APCo</t>
  </si>
  <si>
    <t>I&amp;M</t>
  </si>
  <si>
    <t>KPCo</t>
  </si>
  <si>
    <t>KNGP</t>
  </si>
  <si>
    <t>OPCo</t>
  </si>
  <si>
    <t>WPCo</t>
  </si>
  <si>
    <t>KNGSPT</t>
  </si>
  <si>
    <t>AEP East Total</t>
  </si>
  <si>
    <t>Direct Charged PBOP Expense per Actuarial Report</t>
  </si>
  <si>
    <t>Additional PBOP Ledger Entries (from Company Records)</t>
  </si>
  <si>
    <t>Medicare Subsidy</t>
  </si>
  <si>
    <t>PBOP Expenses From AEP Service Corporation (from Company Records)</t>
  </si>
  <si>
    <t xml:space="preserve">For the rate year 2017 and adjusted every four years thereafter, using the annual actuarial report produced for that year, filed as part of the informational filing, Worksheet O will be used to adjust PBOP costs for the next four years (i.e. 2017, 2018, 2019, 2020).  If the annual actuarial report projects PBOP costs during the next four years, taken together with the then current cumulative PBOP cost/allowance position, will, absent a change in the PBOP allowance, cause the AEP Companies to over or under collect their cumulative PBOP costs by more than 20% of the projected next four year’s total cost, the PBOP allowance shall be adjusted. Worksheet O will be used in the process of updating the PBOP allowance determining (a)  the level of cumulative over or under collections during the period since the PBOP allowance was last set, including carrying costs based on the weighted average cost of capital (“WACC”) each year from the actual formula rate; (b) the cumulative net present value of projected PBOP costs during the next four years, as estimated by the then current actuarial report, assuming a discount rate equal to the actual formula rate weighted average cost of capital for the prior calendar year; and (c) the cumulative net present value of continued collections over the next four years based on the then effective PBOP allowance, assuming a discount rate equal to the prior year WACC.  If the absolute value of (a)+(b)-(c) exceeds 20% of (b), then the PBOP allowance used in the formula rate calculation shall be changed to the value that will cause the projected result (a)+(b)-(c) to equal zero.  If the projected over or under collection during the next four years will be less than 20% of (b), then the PBOP allowacance will continue in effect for the next four years at the then effective rate.  If it is determined through this procedure AEP Companies will over-recover or under-recover actual PBOP expenses by more than 20% over the subsequent four-year period, AEP shall make a filing under FPA Section 205 to change the PBOP expense stated in the formula rate shown on Worksheet O.  No other changes to the formula rate may be included in that filing. </t>
  </si>
  <si>
    <t>Worksheet O - Calculation of Postemployment Benefits Other than Pensions Expenses Allocable to Transmission Service</t>
  </si>
  <si>
    <t>Detail of Actual PBOP Expenses to be Removed in Cost of Service</t>
  </si>
  <si>
    <t>Acct. 9260039 PBOP Expense</t>
  </si>
  <si>
    <t xml:space="preserve">          Acct. 9260057 PBOP Medicare Subsidy</t>
  </si>
  <si>
    <t xml:space="preserve">               PBOP Expense Billed From AEPSC</t>
  </si>
  <si>
    <t xml:space="preserve">         Settlement Approved PBOP Recovery</t>
  </si>
  <si>
    <t>See note K above.  Per the settlement in Docket ER08-1329, recoverable PBOP expense is based on an annual total for the operating companies that is ratioed to them based on the total of actual annual PBOP costs, including charges from the AEP Service Corportation. The calculation of the recoverable amount for each company is shown on Worksheet O.</t>
  </si>
  <si>
    <t>PBOP Worksheet O, Col. C  (Note M)</t>
  </si>
  <si>
    <t>These deductions on lines 81 through 83 are to remove from the cost of service the expenses recorded by the company for Postemployment Benefits Other than Pensions (PBOP).  See Note M below for the recoverable PBOP expense.</t>
  </si>
  <si>
    <t xml:space="preserve">Average of the 13 Monthly Balances </t>
  </si>
  <si>
    <t>Average of the 13 Monthly Balances</t>
  </si>
  <si>
    <t>Note 2: The transmission functional amounts for any Real Estate and Property taxes listed on pages 263 of the FERC Form 1 will be allocated using the transmission functional allocator calculated for each state in Worksheet H of the applicable year that the taxes were assesed.  Real and Personal Property - Other Jurisdictions will be allocated using the Gross Plant Allocator from the applicable year.</t>
  </si>
  <si>
    <t>The cost of service will make a rate base adjustment to remove unfunded reserves associated with contingent liabilites recorded to Accounts 228.1-228.4 from rate base.</t>
  </si>
  <si>
    <t>Transmission Plant Balances in this study are projected or actual average of 13-month balances.</t>
  </si>
  <si>
    <t xml:space="preserve">Indiana Michigan Power Company </t>
  </si>
  <si>
    <t>Accum Prv I/D Worker's Com</t>
  </si>
  <si>
    <t>1650001</t>
  </si>
  <si>
    <t>Prepaid Insurance</t>
  </si>
  <si>
    <t>Prepaid Taxes</t>
  </si>
  <si>
    <t>1650003</t>
  </si>
  <si>
    <t>Prepaid Rents</t>
  </si>
  <si>
    <t>1650005</t>
  </si>
  <si>
    <t>Prepaid Employee Benefits</t>
  </si>
  <si>
    <t>1650006</t>
  </si>
  <si>
    <t>Other Prepayments</t>
  </si>
  <si>
    <t>1650009</t>
  </si>
  <si>
    <t>Prepaid Carry Cost-Factored AR</t>
  </si>
  <si>
    <t>1650010</t>
  </si>
  <si>
    <t>Prepaid Pension Benefits</t>
  </si>
  <si>
    <t>1650014</t>
  </si>
  <si>
    <t>FAS 158 Qual Contra Asset</t>
  </si>
  <si>
    <t>Prepaid Sales Taxes</t>
  </si>
  <si>
    <t>Prepaid Use Taxes</t>
  </si>
  <si>
    <t>Prepaid Insurance - EIS</t>
  </si>
  <si>
    <t>Prepaid SNF Container Costs</t>
  </si>
  <si>
    <t>Prepaid Lease</t>
  </si>
  <si>
    <t>Prepaid SNF Costs</t>
  </si>
  <si>
    <t>Other Payments - Long Term</t>
  </si>
  <si>
    <t>PRW without MED-D Benefits</t>
  </si>
  <si>
    <t>FAS 158 Contra-PRW Exc Med-D</t>
  </si>
  <si>
    <t>Prepaid Taxes-Distribution</t>
  </si>
  <si>
    <t>River Transport</t>
  </si>
  <si>
    <t>Relates to EPRI dues</t>
  </si>
  <si>
    <t xml:space="preserve">AR Factoring </t>
  </si>
  <si>
    <t>Prepaid Sales Tax - Distribution</t>
  </si>
  <si>
    <t>Prepaid Use Tax - Distribution</t>
  </si>
  <si>
    <t>Energy INS Services</t>
  </si>
  <si>
    <t>Med-D Benefits</t>
  </si>
  <si>
    <t>9280000</t>
  </si>
  <si>
    <t>Regulatory Commission Exp</t>
  </si>
  <si>
    <t>9280001</t>
  </si>
  <si>
    <t>Regulatory Commission Exp-Adm</t>
  </si>
  <si>
    <t>9280002</t>
  </si>
  <si>
    <t>Regulatory Commission Exp-Case</t>
  </si>
  <si>
    <t>9301000</t>
  </si>
  <si>
    <t>General Advertising Expenses</t>
  </si>
  <si>
    <t>9301001</t>
  </si>
  <si>
    <t>Newspaper Advertising Space</t>
  </si>
  <si>
    <t>9301006</t>
  </si>
  <si>
    <t>Spec Corporate Comm Info Proj</t>
  </si>
  <si>
    <t>9301012</t>
  </si>
  <si>
    <t>Public Opinion Surveys</t>
  </si>
  <si>
    <t>9301015</t>
  </si>
  <si>
    <t>Other Corporate Comm Exp</t>
  </si>
  <si>
    <t>9302000</t>
  </si>
  <si>
    <t>Misc General Expenses</t>
  </si>
  <si>
    <t>9302003</t>
  </si>
  <si>
    <t>Corporate &amp; Fiscal Expenses</t>
  </si>
  <si>
    <t>9302004</t>
  </si>
  <si>
    <t>Research, Develop&amp;Demonstr Exp</t>
  </si>
  <si>
    <t>9302006</t>
  </si>
  <si>
    <t>9302007</t>
  </si>
  <si>
    <t>Assoc Business Development Exp</t>
  </si>
  <si>
    <t>Indiana Corporate Income Tax Rate</t>
  </si>
  <si>
    <t>Apportionment Factor - Note 2</t>
  </si>
  <si>
    <t xml:space="preserve">Michigan Single Business Tax Rate </t>
  </si>
  <si>
    <t>West Virginia Corporation Income Tax Rate</t>
  </si>
  <si>
    <t>Kentucky Corporation Income Tax Rate</t>
  </si>
  <si>
    <t>Illinois Corporation Income Tax Rate</t>
  </si>
  <si>
    <t>MICHIGAN JURISDICTION</t>
  </si>
  <si>
    <t>INDIANA JURISDICTION</t>
  </si>
  <si>
    <t>Real and Personal Property - Michigan</t>
  </si>
  <si>
    <t>Real and Personal Property - Indiana</t>
  </si>
  <si>
    <t>Real and Personal Property - Other</t>
  </si>
  <si>
    <t>I &amp; M Worksheet J -  ATRR PROJECTED Calculation for PJM Projects Charged to Benefiting Zones</t>
  </si>
  <si>
    <t>RTEP ID: b0839 (Replace existing 450 MVA transformer at Twin Branch 345 / 138 kV with a 675 MVA transformer)</t>
  </si>
  <si>
    <t>No</t>
  </si>
  <si>
    <r>
      <t xml:space="preserve">** </t>
    </r>
    <r>
      <rPr>
        <sz val="10"/>
        <rFont val="Arial"/>
        <family val="2"/>
      </rPr>
      <t xml:space="preserve"> This is the total amount that needs to be reported to PJM for billing to all regions. </t>
    </r>
  </si>
  <si>
    <r>
      <t xml:space="preserve">## </t>
    </r>
    <r>
      <rPr>
        <b/>
        <sz val="10"/>
        <color indexed="8"/>
        <rFont val="Arial"/>
        <family val="2"/>
      </rPr>
      <t>This is the calculation of  additional incentive revenue on projects deemed by the FERC to be eligible for an incentive return.  This</t>
    </r>
  </si>
  <si>
    <t>RTEP ID: b1465.2 (Replace the 100 MVAR 765 kV shunt reactor bank on Rockport - Jefferson 765 kV line with a 300 MVAR bank at Rockport Station)</t>
  </si>
  <si>
    <t>RTEP ID: b1465.3 (Transpose the Rockport - Sullivan 765 kV line and the Rockport - Jefferson  765 kV line)</t>
  </si>
  <si>
    <t>RTEP ID: b1659.14 (Fort Wayne - Marion: Relocate 138 kV line due to new 765 kV build into Sorenson)</t>
  </si>
  <si>
    <t>RTEP ID: b2048 (Tanners Creek - Support for Transformer A/B Replacement)</t>
  </si>
  <si>
    <t>RTEP ID: b1818 (Expand the Allen station by installing a second 345/138 kV transformer and adding four exits by cutting in the Lincoln-Sterling and Timber Switch -Milan 138 kV double circuit tower line)</t>
  </si>
  <si>
    <t>RTEP ID: b1819 (Rebuild the Robinson Park-Sorneson 138 kV line corridor as a 345 kV double circuit line with one side operated at 345 kV and one side at 138 kV)</t>
  </si>
  <si>
    <t>RTEP ID: b1465.4 (Make switching improvements at Sullivan and Jefferson 765 kV stations)</t>
  </si>
  <si>
    <t>Total Other Jurisdictions:  (Line 6 * Net Plant Allocator)</t>
  </si>
  <si>
    <t>State Public Service Commission Fees</t>
  </si>
  <si>
    <t>State Franchise Taxes</t>
  </si>
  <si>
    <t>State Lic/Registration Fee</t>
  </si>
  <si>
    <t>Misc. State and Local Tax</t>
  </si>
  <si>
    <t>Sales &amp; Use</t>
  </si>
  <si>
    <t>Z</t>
  </si>
  <si>
    <t xml:space="preserve">Per the settlement in EL17-13, equity is limited to 55% in of the Company's capital structure.  If the percentage of actual equity exceeds the cap, the excess is included as long term debt in the capital structure.  </t>
  </si>
  <si>
    <t>Cap Limit</t>
  </si>
  <si>
    <t>Capital Structure Percentages</t>
  </si>
  <si>
    <t>Capital Structure Equity Limit (Note Z)</t>
  </si>
  <si>
    <t>Reg Com Exp-FERC Trans Cases</t>
  </si>
  <si>
    <t>9280005</t>
  </si>
  <si>
    <t>RTEP ID: b1465.5 (Make switching changes at Sullivan 765 kV station)</t>
  </si>
  <si>
    <t>RTEP ID: b2831.1 (Upgrade the Tanner Creek-Miami Fort 345kV circuit)</t>
  </si>
  <si>
    <t>Other - Dist</t>
  </si>
  <si>
    <t>Prepaid Leases-All Functions</t>
  </si>
  <si>
    <t>TX AMORT POLLUTION CONT EQPT</t>
  </si>
  <si>
    <t xml:space="preserve">NON-UTILITY DEFERRED FIT </t>
  </si>
  <si>
    <t>SFAS 109 FLOW-THRU 281.3</t>
  </si>
  <si>
    <t>SFAS 109 EXCESS DFIT 281.4</t>
  </si>
  <si>
    <t>SFAS 109 FLOW-THRU 282.3</t>
  </si>
  <si>
    <t>SFAS 109 EXCESS DFIT 282.4</t>
  </si>
  <si>
    <t>NUCLEAR</t>
  </si>
  <si>
    <t>RTD</t>
  </si>
  <si>
    <t>SFAS 109 FLOW-THRU 283.3</t>
  </si>
  <si>
    <t>SFAS 109 EXCESS DFIT 283.4</t>
  </si>
  <si>
    <t>ADIT FED HDG CF INT RATE - 2830015</t>
  </si>
  <si>
    <t>SFAS 109 - DEFD STATE INCOME TAXES</t>
  </si>
  <si>
    <t>DEFERRED SIT  1901002</t>
  </si>
  <si>
    <t>SFAS 109 FLOW-THRU 190.3</t>
  </si>
  <si>
    <t>SFAS 109 EXCESS DFIT 190.4</t>
  </si>
  <si>
    <t>ADIT FED - PENSION OCI NAF 1900009</t>
  </si>
  <si>
    <t>ADIT FED - PENSION OCI 1900010</t>
  </si>
  <si>
    <t>ADIT FED - PENSION NON-UMWA PRW OCI 1900011</t>
  </si>
  <si>
    <t>ADIT FED HDG CF INT RATE 1900015</t>
  </si>
  <si>
    <t>COLUMN P</t>
  </si>
  <si>
    <t>COLUMN Q</t>
  </si>
  <si>
    <t>COLUMN R</t>
  </si>
  <si>
    <t>COLUMN S</t>
  </si>
  <si>
    <t>COLUMN T</t>
  </si>
  <si>
    <t>COLUMN U</t>
  </si>
  <si>
    <t xml:space="preserve"> GENERAL PLANT</t>
  </si>
  <si>
    <t>Transportation Equipment</t>
  </si>
  <si>
    <t>Power Operated Equipment</t>
  </si>
  <si>
    <t>INDIANA MICHIGAN POWER COMPANY, INC.</t>
  </si>
  <si>
    <t>Worksheet B-3</t>
  </si>
  <si>
    <t>Excess/ Deficient ADIT Worksheet for Total Company and Functional Balances</t>
  </si>
  <si>
    <t>Debit/(Credit)</t>
  </si>
  <si>
    <t xml:space="preserve">I </t>
  </si>
  <si>
    <t xml:space="preserve">J </t>
  </si>
  <si>
    <t>TOTAL COMPANY BALANCES</t>
  </si>
  <si>
    <t>Balance Sheet Entries</t>
  </si>
  <si>
    <t>Tax Expense Entries</t>
  </si>
  <si>
    <t xml:space="preserve">Line No. </t>
  </si>
  <si>
    <t>Description of Account</t>
  </si>
  <si>
    <t>Protected
Unprotected</t>
  </si>
  <si>
    <t>Tax Rate Change Act</t>
  </si>
  <si>
    <t>Amotization Period</t>
  </si>
  <si>
    <t>Balance Sheet Account Reclassifications</t>
  </si>
  <si>
    <t>410/411 Deferred Tax Expense/ (Benefit)</t>
  </si>
  <si>
    <t>Reference</t>
  </si>
  <si>
    <t>Sum of Cols (I) - (O)</t>
  </si>
  <si>
    <t>Deferred Tax Account (NOTE B)</t>
  </si>
  <si>
    <t>1a</t>
  </si>
  <si>
    <r>
      <t>190</t>
    </r>
    <r>
      <rPr>
        <sz val="9"/>
        <color rgb="FFFF0000"/>
        <rFont val="Arial"/>
        <family val="2"/>
      </rPr>
      <t>4</t>
    </r>
    <r>
      <rPr>
        <sz val="9"/>
        <rFont val="Arial"/>
        <family val="2"/>
      </rPr>
      <t>001</t>
    </r>
  </si>
  <si>
    <t xml:space="preserve">ADFIT - FAS 109 Excess </t>
  </si>
  <si>
    <t>N/A</t>
  </si>
  <si>
    <t>TCJA 2017</t>
  </si>
  <si>
    <t>1b</t>
  </si>
  <si>
    <r>
      <t>281</t>
    </r>
    <r>
      <rPr>
        <sz val="9"/>
        <color rgb="FFFF0000"/>
        <rFont val="Arial"/>
        <family val="2"/>
      </rPr>
      <t>1</t>
    </r>
    <r>
      <rPr>
        <sz val="9"/>
        <rFont val="Arial"/>
        <family val="2"/>
      </rPr>
      <t>001</t>
    </r>
  </si>
  <si>
    <t>ADFIT - Accel Amortization Property</t>
  </si>
  <si>
    <t>Protected</t>
  </si>
  <si>
    <t>1c</t>
  </si>
  <si>
    <r>
      <t>281</t>
    </r>
    <r>
      <rPr>
        <sz val="9"/>
        <color rgb="FFFF0000"/>
        <rFont val="Arial"/>
        <family val="2"/>
      </rPr>
      <t>4</t>
    </r>
    <r>
      <rPr>
        <sz val="9"/>
        <rFont val="Arial"/>
        <family val="2"/>
      </rPr>
      <t>001</t>
    </r>
  </si>
  <si>
    <t>ADFIT - Accel Amort FAS 109 Excess</t>
  </si>
  <si>
    <t>1d</t>
  </si>
  <si>
    <r>
      <t>282</t>
    </r>
    <r>
      <rPr>
        <sz val="9"/>
        <color rgb="FFFF0000"/>
        <rFont val="Arial"/>
        <family val="2"/>
      </rPr>
      <t>1</t>
    </r>
    <r>
      <rPr>
        <sz val="9"/>
        <rFont val="Arial"/>
        <family val="2"/>
      </rPr>
      <t>001</t>
    </r>
  </si>
  <si>
    <t>ADFIT - Utility Property</t>
  </si>
  <si>
    <t>ARAM</t>
  </si>
  <si>
    <t>Life of Asset</t>
  </si>
  <si>
    <t>1e</t>
  </si>
  <si>
    <t>Unprotected</t>
  </si>
  <si>
    <t>10 Years</t>
  </si>
  <si>
    <t>1/2018 - 12/2027</t>
  </si>
  <si>
    <t>1f</t>
  </si>
  <si>
    <r>
      <t>282</t>
    </r>
    <r>
      <rPr>
        <sz val="9"/>
        <color rgb="FFFF0000"/>
        <rFont val="Arial"/>
        <family val="2"/>
      </rPr>
      <t>4</t>
    </r>
    <r>
      <rPr>
        <sz val="9"/>
        <rFont val="Arial"/>
        <family val="2"/>
      </rPr>
      <t>001</t>
    </r>
  </si>
  <si>
    <t>ADFIT - Utility Property FAS 109 Excess</t>
  </si>
  <si>
    <t>1g</t>
  </si>
  <si>
    <t>1h</t>
  </si>
  <si>
    <r>
      <t>283</t>
    </r>
    <r>
      <rPr>
        <sz val="9"/>
        <color rgb="FFFF0000"/>
        <rFont val="Arial"/>
        <family val="2"/>
      </rPr>
      <t>1</t>
    </r>
    <r>
      <rPr>
        <sz val="9"/>
        <rFont val="Arial"/>
        <family val="2"/>
      </rPr>
      <t>001</t>
    </r>
  </si>
  <si>
    <t>ADFIT - Other Utility Deferrals</t>
  </si>
  <si>
    <t>1i</t>
  </si>
  <si>
    <r>
      <t>283</t>
    </r>
    <r>
      <rPr>
        <sz val="9"/>
        <color rgb="FFFF0000"/>
        <rFont val="Arial"/>
        <family val="2"/>
      </rPr>
      <t>4</t>
    </r>
    <r>
      <rPr>
        <sz val="9"/>
        <rFont val="Arial"/>
        <family val="2"/>
      </rPr>
      <t>001</t>
    </r>
  </si>
  <si>
    <t>ADFIT - Other FAS 109 Excess</t>
  </si>
  <si>
    <t>1j</t>
  </si>
  <si>
    <t>Regulatory Deferral Accounts</t>
  </si>
  <si>
    <t>2a</t>
  </si>
  <si>
    <t xml:space="preserve">Regulatory Asset  </t>
  </si>
  <si>
    <t xml:space="preserve"> Company Records</t>
  </si>
  <si>
    <t>2b</t>
  </si>
  <si>
    <t>Regulatory Liability</t>
  </si>
  <si>
    <t>2c</t>
  </si>
  <si>
    <t>TRANSMISSION FUNCTION BALANCES</t>
  </si>
  <si>
    <t>4a</t>
  </si>
  <si>
    <t>4b</t>
  </si>
  <si>
    <t>4c</t>
  </si>
  <si>
    <t>4d</t>
  </si>
  <si>
    <t>4e</t>
  </si>
  <si>
    <t>4f</t>
  </si>
  <si>
    <t>4g</t>
  </si>
  <si>
    <t>4h</t>
  </si>
  <si>
    <t>5c</t>
  </si>
  <si>
    <t>NOTE A</t>
  </si>
  <si>
    <t>NOTE B:</t>
  </si>
  <si>
    <t>The amount of the FIT gross up to recorded on regulatory assets and liabilities will be reported on the first line of ADIT accounts provided for each specific change in tax rates.</t>
  </si>
  <si>
    <t>NOTE C:</t>
  </si>
  <si>
    <t>NOTE D:</t>
  </si>
  <si>
    <t>NOTE E:</t>
  </si>
  <si>
    <t>NOTE E</t>
  </si>
  <si>
    <t>GENERAL NOTE:  ADIT Tax balances provided in the formula presented in Attachment H-14B are maintained on both a total company and transmission functional basis. Because both sets of numbers are presented in the formula, the information for excess and deficient ADIT is also presented for both total company and the transmission function on this worksheet.  Account 281 only applies to the generation function, so is not presented in the transmission functional summary.</t>
  </si>
  <si>
    <t>NOTE F:</t>
  </si>
  <si>
    <t>Gross Receipts Audit</t>
  </si>
  <si>
    <t>WS B - 1, Col B/C, ADIT Item 2.06</t>
  </si>
  <si>
    <t>2018 Forecasted Revenue Requirement For Year 2018</t>
  </si>
  <si>
    <t>An over or under collection will be recovered prorata over 2018, held for 2019 and returned prorate over 2020</t>
  </si>
  <si>
    <t>Approved by FERC March 2, 1990 in Docket ER90-132</t>
  </si>
  <si>
    <t>Approved by FERC March 2, 1990 in Docket ER90-133</t>
  </si>
  <si>
    <t xml:space="preserve"> (2)  Approved by PSC of WV Order dated 2/27/2019 in</t>
  </si>
  <si>
    <t xml:space="preserve">        Case No. 18-0645-E-D effective 03/06/2019.</t>
  </si>
  <si>
    <t>Distribution Plant (recorded by state) is assigned only to</t>
  </si>
  <si>
    <t>jurisdictions within each state.</t>
  </si>
  <si>
    <t>MICHIGAN AND FERC</t>
  </si>
  <si>
    <t>$0 at Dec 2018 - use old rate</t>
  </si>
  <si>
    <t>53c</t>
  </si>
  <si>
    <t>Accm Prv I/D - Asbestos - Curr</t>
  </si>
  <si>
    <t>Accm Prv I/D - Asbestos</t>
  </si>
  <si>
    <t>2282011</t>
  </si>
  <si>
    <t>2282012</t>
  </si>
  <si>
    <t>EFFECTIVE AS OF MARCH 11, 2020</t>
  </si>
  <si>
    <t>(1) As approved in Indiana Cause No. 45235 effective March 11, 2020.</t>
  </si>
  <si>
    <t>(2) As approved in Michigan Case No. U-20359 effective February 1, 2020.</t>
  </si>
  <si>
    <t>(3) FERC wholesale formula rate agreements specify that the depreciation rates in the formula rates change upon approval of MPSC rates in the Michigan jurisdiction.</t>
  </si>
  <si>
    <t>Prepayment - Coal</t>
  </si>
  <si>
    <t>Prepaid Coal</t>
  </si>
  <si>
    <t>Accum Defd Property FIT - TBBS 282.6</t>
  </si>
  <si>
    <t>Accum Defd Other FIT-TBBS 283.6</t>
  </si>
  <si>
    <t>NOL ADJUSTMENT</t>
  </si>
  <si>
    <t>NOL CONTRA</t>
  </si>
  <si>
    <t>Appalachian Power Company</t>
  </si>
  <si>
    <t xml:space="preserve">Long Term Debt cost rate = long-term interest (ln 145) /average long term debt (ln 154). Preferred Stock cost rate = preferred dividends (ln 146) /preferred outstanding (ln 155). </t>
  </si>
  <si>
    <t xml:space="preserve">Common Stock cost rate (ROE) = 10.35%, per the settlement in FERC Docket No. EL17-13. It includes an additional 50 basis points for PJM RTO membership. </t>
  </si>
  <si>
    <t>The amount of eligible hedging gains or losses included in total interest expense is limited to five basis points of the capital structure. Details and calculations of the weighted average cost of capital are shown on Worksheet M. Eligible Hedging Gains and Losses are computed on Worksheet M. The unamortized balance of eligible hedge gains/losses and related ADIT amounts shall not flow through the formula rate.</t>
  </si>
  <si>
    <t>AEP EAST OPERATING COMPANIES</t>
  </si>
  <si>
    <t>Docket ER20-1886-000</t>
  </si>
  <si>
    <t>Compliance Filing</t>
  </si>
  <si>
    <t>ATTACHMENT H-14B</t>
  </si>
  <si>
    <t>Attachment 4</t>
  </si>
  <si>
    <t>WORKSHEET-B-3-A</t>
  </si>
  <si>
    <t>Page 2 of 6</t>
  </si>
  <si>
    <t>TAX REMEASUREMENT WORKSHEET</t>
  </si>
  <si>
    <t>TAX CUT and JOBS ACT of  2017</t>
  </si>
  <si>
    <t>F=E/C</t>
  </si>
  <si>
    <t>H = E +G</t>
  </si>
  <si>
    <t>J = C - H</t>
  </si>
  <si>
    <t>Line No.</t>
  </si>
  <si>
    <t xml:space="preserve">Utility Account </t>
  </si>
  <si>
    <t>12/31/17 Pre-remeasurement Balance</t>
  </si>
  <si>
    <t>Remeasurement Amount (NOTE 1)</t>
  </si>
  <si>
    <t>Remeasurement Percentage (NOTE 2)</t>
  </si>
  <si>
    <t>Adjustments (NOTE 3)</t>
  </si>
  <si>
    <t>Total Excess/Deficiency by Account (NOTE 4)</t>
  </si>
  <si>
    <t>Protected / Unprotected</t>
  </si>
  <si>
    <t>ADIT Deferral After Remesasurement</t>
  </si>
  <si>
    <t>TOTAL COMPANY</t>
  </si>
  <si>
    <t>190 - Utility</t>
  </si>
  <si>
    <t>2018 FF1 P. 234 Col (b) Line 8</t>
  </si>
  <si>
    <t>Less: Deferred State Taxes</t>
  </si>
  <si>
    <t>1901001</t>
  </si>
  <si>
    <t>2811001</t>
  </si>
  <si>
    <t>2018 FF1 P. 272 Col (b) Line 8</t>
  </si>
  <si>
    <t>2821001</t>
  </si>
  <si>
    <t>2018 FF1 P. 274 Col (b) Line 5</t>
  </si>
  <si>
    <t xml:space="preserve">Protected </t>
  </si>
  <si>
    <t xml:space="preserve">Unprotected </t>
  </si>
  <si>
    <t>2831001</t>
  </si>
  <si>
    <t>2018 FF1 P. 276 Col (b) Line 9</t>
  </si>
  <si>
    <t>(Sum of Lns. 3+4+5+6)</t>
  </si>
  <si>
    <t>TRANSMISSION FUNCTION</t>
  </si>
  <si>
    <t>(Sum of Lns. 7+8+9)</t>
  </si>
  <si>
    <t xml:space="preserve">GENERAL NOTE:  This worksheet will summarize remeasurement adjustments in ADIT Accounts for both the total company and transmission function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B-3-A, B-3-B, etc.) </t>
  </si>
  <si>
    <t>NOTE 1:</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</si>
  <si>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</si>
  <si>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</si>
  <si>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 xml:space="preserve">Remeasurement calculation may not equal 40% of the December 31, 2017  deferral balance because of specific ADIT items that are not subject to remeasurement. </t>
  </si>
  <si>
    <t>NOTE 3:</t>
  </si>
  <si>
    <t>As part of the remeasurement calculation, the remeasurement ADIT balances in account 1901001 were reclassed to account 2831001 to group nonproperty utility deferrals together as one timing difference.</t>
  </si>
  <si>
    <t>NOTE 4</t>
  </si>
  <si>
    <t>Ties to each Operating Company's Workpaper B-3, Column F, showing the intial remeasurement value determined as a result of the Tax Cut and Jobs Act of 2017.</t>
  </si>
  <si>
    <t>WS B - 2 Col B/C, ADIT item 3.213</t>
  </si>
  <si>
    <t>WS B - 1 Col B/C, ADIT Item 5.38</t>
  </si>
  <si>
    <t>WS B - 1 Cols O+P+Q+R+S , ADIT Item 5.33</t>
  </si>
  <si>
    <t>WS B - 1 Col B/C, Items 10.31</t>
  </si>
  <si>
    <t>WS B - 1 Col B/C, Item 10.36</t>
  </si>
  <si>
    <t>WS B - 1 Col Q, ADIT 5.33</t>
  </si>
  <si>
    <t>WS B - 1 Col Q, item 10.31</t>
  </si>
  <si>
    <t>Utility Account (NOTE A)</t>
  </si>
  <si>
    <t xml:space="preserve">Excess / Deficient Balance at Remeasurement </t>
  </si>
  <si>
    <t>Amortization Methodology (NOTE C)</t>
  </si>
  <si>
    <t>Excess / Deficient ADIT Regulatory  Offset</t>
  </si>
  <si>
    <t>Excess / Deficient ADIT in Utility Deferrals</t>
  </si>
  <si>
    <t xml:space="preserve">410/411 Excess / Deficient Amortization NOTE C/NOTE F
</t>
  </si>
  <si>
    <t>Excess/ Deficient ADIT Regulatory  Offset</t>
  </si>
  <si>
    <t>Excess /  Deficient ADIT in Utility Deferrals</t>
  </si>
  <si>
    <t>NOTE D</t>
  </si>
  <si>
    <t xml:space="preserve">The ten year amortization period for unprotected excess ADIT is consistent with the period agreed upon by the Company and its customers and approved for the Company's PJM formula rates. Appalachian Power Company, et al, 166 FERC ¶ 61,135 (2019). </t>
  </si>
  <si>
    <t>In the event of future tax rate changes, additional lines will be inserted as required to reflect any new ADIT or regulatory deferral accounts that may be necessary to track that tax rate change.</t>
  </si>
  <si>
    <t>The amount of excess amortization entries shown in lines 1a through 1_  are shown as a debit or credit to the ADIT account from which it is being amortized.  The total in line # is the offset as charged to the 410/411 account. This total amount of amortization is then reported in line 24a of the TCOS.</t>
  </si>
  <si>
    <t xml:space="preserve">Deficient remeasurement amounts will be recorded in 410.1 as a debit (expense) to cost of service,, excess remeasurement amounts will be recorded in 411.1 as credit to cost of service. </t>
  </si>
  <si>
    <t xml:space="preserve">In order to ensure rate base neutrality, AEP utilizes the fourth digit of its seven digit FERC Tax subaccount numbers to identify balances associated with utility operations vs regulatory reporting requirements.  A "1" in the fourth digit of a FERC deferred tax account refers to the utility operations balance or entry.  Accounts with the "1" designation will be included in the determination of rate base to be recovered in the formula rate.   A "4" in the four place of the account number indicates accounts used to track regulatory accounting requirements.  The excess ADIT amounts recorded in accounts with the  "4" designation will be contra to the "1" balance, which will ensure that in the formula rate the excess amount will be part of rate base, but at the total FERC account level the tax asset or liability will be recorded at the current Federal FIT rate.  The amounts recorded in 4 will be offset on a net basis in the regulatory asset or liability account established for this purpose. </t>
  </si>
  <si>
    <t>State Publ Serv CommissionFees</t>
  </si>
  <si>
    <t>1650041</t>
  </si>
  <si>
    <t>Prepaid Regulatory Fees</t>
  </si>
  <si>
    <t>1650043</t>
  </si>
  <si>
    <t>Prepayment-Sodium Bicarbonate</t>
  </si>
  <si>
    <t>1650044</t>
  </si>
  <si>
    <t>Prepayment-Deferred Coal</t>
  </si>
  <si>
    <t>9301007</t>
  </si>
  <si>
    <t>Special Adv Space &amp; Prod Exp</t>
  </si>
  <si>
    <t>Assoc Bus Dev - Materials Sold</t>
  </si>
  <si>
    <t>SFAS 109 FLOW-THRU 283.2</t>
  </si>
  <si>
    <t>RTEP ID: b2777 (Reconductor the entire Dequine - Eugene 345 kV circuit #1)</t>
  </si>
  <si>
    <t>LT Coal Prepayment</t>
  </si>
  <si>
    <t xml:space="preserve">  (1) As stated in the order in VA Case No. in Case No. PUR-2020-00015, depreciation rates should be implemented at the time depreciation study is preformed.  This is the final update made to depreciation rates as a result of the order issued in PUR-2023-00002.</t>
  </si>
  <si>
    <t xml:space="preserve">Transmission allocation factors are changed annually in January based on </t>
  </si>
  <si>
    <t>September factors as per the PJM tariff approved in FERC Docket ER08-1329</t>
  </si>
  <si>
    <t xml:space="preserve">        Depreciation rates were made effective January 1, 2023.</t>
  </si>
  <si>
    <t xml:space="preserve">(7)  </t>
  </si>
  <si>
    <t>Initial depreciation rates for the jurisdictional shares of CCR/ELG investment at Amos and Mountaineer approved in VA Case No. PUR-2020-00015 and WV Case No. 20-1040-E-CN.</t>
  </si>
  <si>
    <t>EFFECTIVE AS OF 1/1/2023</t>
  </si>
  <si>
    <t xml:space="preserve">Note 1:   No change in Transmission plant depreciation rates which were established in </t>
  </si>
  <si>
    <t>OPCo and CSP's FERC Commission Order in Docket No EC11-37-000.</t>
  </si>
  <si>
    <t>EFFECTIVE AS OF 12/1/2021</t>
  </si>
  <si>
    <t>EFFECTIVE AS OF 3/6/2019</t>
  </si>
  <si>
    <t>Note 1:  Approved by PSC of WV Order dated 2/27/2019 in Case No. 18-0645-E-D effective 03/06/2019.</t>
  </si>
  <si>
    <t>RTEP ID: b2668 (Reconductor Dequine - Meadow Lake 345 kV circuit #1 utilizing dual 954 ACSR 54/7 cardinal conductor)</t>
  </si>
  <si>
    <t>RTEP ID: b2776 (Reconductor the entire Dequine - Meadow Lake 345 kV circuit #2)</t>
  </si>
  <si>
    <t>3091 - TAX CREDIT C/F W DEF TAX</t>
  </si>
  <si>
    <t>3093 - ELEC PROD CREDIT W Def Tax</t>
  </si>
  <si>
    <t>3094 - CAMT CREDIT C/F W Def Tax</t>
  </si>
  <si>
    <t>3501 - TAX CREDIT C/F - DEF TAX ASSET(OLD)</t>
  </si>
  <si>
    <t>3613 - NOL-CONSOL TAX ADJ - MO</t>
  </si>
  <si>
    <t>3621 - NOL-CONSOL TAX ADJ - UT</t>
  </si>
  <si>
    <t>4017 - NOL-STATE C/F-DEF TAX ASSET-L/T - KY</t>
  </si>
  <si>
    <t>7002 - CUST ADV for Construction</t>
  </si>
  <si>
    <t>7021 - PROVS POSS REV REFDS-A/L</t>
  </si>
  <si>
    <t>7022 - PROV FOR RATE REFUND-TAX REFORM</t>
  </si>
  <si>
    <t>7024 - DEFD BK GAIN-RKPT 2 SALE/LEASE</t>
  </si>
  <si>
    <t>7027 - INSURANCE PREMIUMS ACCRUED</t>
  </si>
  <si>
    <t>7029 - PROV WORKER'S COMP</t>
  </si>
  <si>
    <t>7032 - ACCRUED BK PENSION EXPENSE</t>
  </si>
  <si>
    <t>7033 - ACCRUED BK PENSION COSTS - SFAS 158</t>
  </si>
  <si>
    <t>7034 - SUPPLEMENTAL EXECUTIVE RETIREMENT PLAN</t>
  </si>
  <si>
    <t>7035 - ACCRD SUP EXEC RETIR PLAN COSTS-SFAS 158</t>
  </si>
  <si>
    <t>7036 - ACCRD BK SUP. SAVINGS PLAN EXP</t>
  </si>
  <si>
    <t>7037 - ACCRUED PSI PLAN EXP</t>
  </si>
  <si>
    <t>7038 - PROV RAD WASTE ACCRUAL-ST</t>
  </si>
  <si>
    <t>7040 - BK PROV UNCOLL ACCTS - ST</t>
  </si>
  <si>
    <t>7048 - ACCRD COMPANYWIDE INCENTV PLAN</t>
  </si>
  <si>
    <t>7051 - ACCRD ENVIRONMENTAL LIAB-CURRENT</t>
  </si>
  <si>
    <t>7052 - ACCRUED BOOK VACATION PAY</t>
  </si>
  <si>
    <t>7054 - BOOK LEASES DEFERRED</t>
  </si>
  <si>
    <t>7055 - (ICDP)-INCENTIVE COMP DEFERRAL PLAN</t>
  </si>
  <si>
    <t>7056 - ACCRD SEMCO ENVIRON REMEDIATION CSTS-S/T</t>
  </si>
  <si>
    <t>7059 - BK ACCRL- COOK CT RENT HOLIDAY</t>
  </si>
  <si>
    <t>7060 - ACCRD BK SEI EMP BENEFIT COSTS</t>
  </si>
  <si>
    <t>7061 - ACCRUED BK SEVERANCE BENEFITS</t>
  </si>
  <si>
    <t>7064 - ACCRUED INTEREST EXP -STATE</t>
  </si>
  <si>
    <t>7065 - ACCRUED INTEREST-LONG-TERM - FIN 48</t>
  </si>
  <si>
    <t>7074 - IN CUSTOMER PROGRAM CONTRIBUTIONS - L/T</t>
  </si>
  <si>
    <t>7075 - IN CUSTOMER PROGRAM CONTRIBUTIONS - S/T</t>
  </si>
  <si>
    <t>7078 - FEDERAL MITIGATION PROGRAMS</t>
  </si>
  <si>
    <t>7079 - STATE MITIGATION PROGRAMS</t>
  </si>
  <si>
    <t>7083 - Litigation Accrual</t>
  </si>
  <si>
    <t>7097 - FICA - NON-CUURENT</t>
  </si>
  <si>
    <t>7100 - DEFD REV - SAN ANGELO SETTLEMENT</t>
  </si>
  <si>
    <t>7104 - ADVANCE RENTAL INC (CUR MO)</t>
  </si>
  <si>
    <t>7110 - REG LIAB-UNREAL MTM GAIN-DEFL</t>
  </si>
  <si>
    <t>7115 - REG LIABILITY-SFAS 143 - ARO</t>
  </si>
  <si>
    <t>7526 - Prepaid Regulatory Fees</t>
  </si>
  <si>
    <t>7572 - BK DEFL-GAIN REACQUIRED DEBT</t>
  </si>
  <si>
    <t>7575 - ACCRD SFAS 106 PST RETIRE EXP</t>
  </si>
  <si>
    <t>7577 - ACCRD OPEB COSTS - SFAS 158</t>
  </si>
  <si>
    <t>7580 - ACCRD SFAS 112 PST EMPLOY BEN</t>
  </si>
  <si>
    <t>7581 - ACCRD BOOK ARO EXPENSE - SFAS 143</t>
  </si>
  <si>
    <t>7584 - BOOK OPERATING LEASE - LIAB</t>
  </si>
  <si>
    <t>7586 - ACCRD SIT/FRANCHISE TAX RESERVE</t>
  </si>
  <si>
    <t>7589 - ACCRD SIT TX RESERVE-LNG-TERM-FIN 48</t>
  </si>
  <si>
    <t>8004 - PROPERTY TAX-Book - NORM</t>
  </si>
  <si>
    <t>8013 - MARK &amp; SPREAD-DEFL-190-A/L</t>
  </si>
  <si>
    <t>8016 - STOCK BASED COMP-CAREER SHARES</t>
  </si>
  <si>
    <t>8017 - PROV-TRADING CREDIT RISK - A/L</t>
  </si>
  <si>
    <t>8018 - PROV-FAS 157 - A/L</t>
  </si>
  <si>
    <t>8020 - FRT WAYNE CITY LGTS SETTLEMENT</t>
  </si>
  <si>
    <t>8032 - SM-DEFD PRE 4 7 83 DISP CSTS</t>
  </si>
  <si>
    <t>8033 - SI-DEFD PRE 4 7 83 DISP CSTS</t>
  </si>
  <si>
    <t>8034 - FR-DEFD PRE 4 7 83 DISP CSTS</t>
  </si>
  <si>
    <t>8035 - TC-DEFD DISPOL CSTS NUC FUEL</t>
  </si>
  <si>
    <t>8036 - FR-AMORT INT PRE 4 7 83 DISP</t>
  </si>
  <si>
    <t>8037 - SI-AMORT INT PRE 4 7 83 DISP</t>
  </si>
  <si>
    <t>8038 - SM-AMORT INT PRE 4 7 83 DISP</t>
  </si>
  <si>
    <t>8039 - TC-ACC INT PRE 4 7 83 DISP CST</t>
  </si>
  <si>
    <t>8041 - SM-ACC NQ NUC DECOM EXP -RATES</t>
  </si>
  <si>
    <t>8042 - SI-ACC NQ NUC DECOM EXP -RATES</t>
  </si>
  <si>
    <t>8043 - FR-ACC NQ NUC DECOM EXP -RATES</t>
  </si>
  <si>
    <t>8047 - SM-ACC NUC DCM EXP-NQ TR INC</t>
  </si>
  <si>
    <t>8048 - SI-ACC NUC DCM EXP-NQ TR INC</t>
  </si>
  <si>
    <t>8049 - FR-ACC NUC DCM EXP-NQ TR INC</t>
  </si>
  <si>
    <t>8060 - IRS AUDIT SETTLEMENT</t>
  </si>
  <si>
    <t>8062 - RESTRICTED STOCK PLAN</t>
  </si>
  <si>
    <t>Acc Dfd SIT FAS 109 Flow Thru 1903002</t>
  </si>
  <si>
    <t>2006 - 282-ACCUM DEFD FEDERAL TBBS ADJ</t>
  </si>
  <si>
    <t>2010 - EXCESS ADFIT 282 - PROTECTED.</t>
  </si>
  <si>
    <t>2011 - EXCESS ADFIT 282 - UNPROTECTED.</t>
  </si>
  <si>
    <t>5024 - NON-DEDUCTIBLE PARKING EXPENSE</t>
  </si>
  <si>
    <t>6002 - PT AFUDC Debt - NORM</t>
  </si>
  <si>
    <t>6004 - PT ARO - NORM</t>
  </si>
  <si>
    <t>6006 - PT Basis Adj - NORM</t>
  </si>
  <si>
    <t>6007 - PT CIAC - NORM</t>
  </si>
  <si>
    <t>6009 - PT COR - NORM</t>
  </si>
  <si>
    <t>6011 - PT CPI - NORM</t>
  </si>
  <si>
    <t>6013 - PT Historical Other - NORM</t>
  </si>
  <si>
    <t>6014 - PT IDD5 - NORM</t>
  </si>
  <si>
    <t>6018 - PT Method/Life - NORM</t>
  </si>
  <si>
    <t>6021 - PT R&amp;D Adjustment - NORM</t>
  </si>
  <si>
    <t>6022 - PT Relocation Cost - NORM</t>
  </si>
  <si>
    <t>6024 - PT Repairs UOP - NORM</t>
  </si>
  <si>
    <t>6026 - PT Software - NORM</t>
  </si>
  <si>
    <t>6028 - EFB Basis Adj - NORM</t>
  </si>
  <si>
    <t>6501 - I&amp;M IN SJSF Cost Cap (AD)</t>
  </si>
  <si>
    <t>6502 - MI SJSF Initial Cap Limit (AD)</t>
  </si>
  <si>
    <t>6503 - 2021 280H 481(a)</t>
  </si>
  <si>
    <t>6523 - 2020 712L 481(a) Software</t>
  </si>
  <si>
    <t>7585 - BOOK OPERATING LEASE - ASSET</t>
  </si>
  <si>
    <t>2007 - 283-ACCUM DEFD FEDERAL TBBS ADJ</t>
  </si>
  <si>
    <t>2012 - EXCESS ADFIT 283 - UNPROTECTED.</t>
  </si>
  <si>
    <t>7007 - SM-UNRECD FUEL CSTS</t>
  </si>
  <si>
    <t>7026 - MTM BK GAIN-A/L-TAX DEFL</t>
  </si>
  <si>
    <t>7063 - FRT WAYNE CITY LGTS-RIGHT TO SERVE SETTLE</t>
  </si>
  <si>
    <t>7069 - REG ASSET-DEFERRED RTO COSTS</t>
  </si>
  <si>
    <t>7085 - DEFD STORM DAMAGE</t>
  </si>
  <si>
    <t>7086 - RATE CASE DEFD CHGS</t>
  </si>
  <si>
    <t>7091 - IM PLUGGED IN</t>
  </si>
  <si>
    <t>7092 - MI CARRY COST-DRY CASK STORAGE</t>
  </si>
  <si>
    <t>7094 - Accrued COVID-19 Incremental Costs - non-TX</t>
  </si>
  <si>
    <t>7103 - BOOK &gt; TAX BASIS - EMA-A/C 283</t>
  </si>
  <si>
    <t>7114 - REG ASSET-SFAS 143 - ARO</t>
  </si>
  <si>
    <t>7119 - REG ASSET-DEFD CARRY COST ON STRANDED COST</t>
  </si>
  <si>
    <t>7134 - REG ASSET-CARRY CHGS - MON POWER ACQ</t>
  </si>
  <si>
    <t>7137 - REG ASSET-SFAS 158 - PENSIONS</t>
  </si>
  <si>
    <t>7138 - REG ASSET-SFAS 158 - SERP</t>
  </si>
  <si>
    <t>7139 - REG ASSET-SFAS 158 - OPEB</t>
  </si>
  <si>
    <t>7160 - REG ASSET-UNDERRECOVERY-DSM EO-MI</t>
  </si>
  <si>
    <t>7236 - REG ASSET-BAFFLE BOLTS</t>
  </si>
  <si>
    <t>7237 - REG ASSET-MI DEFERRED DEPR-COOK LCM</t>
  </si>
  <si>
    <t>7238 - REG ASSET-MI CARRYING CHARGE-COOK LCM</t>
  </si>
  <si>
    <t>7239 - REG ASSET-MI CC-COOK LCM UNREC EQUITY</t>
  </si>
  <si>
    <t>7241 - REG ASSET-IN COOK TURBINE CC EQUITY</t>
  </si>
  <si>
    <t>7242 - REG ASSET-IN COOK TURBINE CC</t>
  </si>
  <si>
    <t>7250 - REG ASSET-MI DEFERRED PROP TAX-COOK LCM</t>
  </si>
  <si>
    <t>7252 - REG ASSET-IN DEFERRED DEPRECIATION-COOK LCM</t>
  </si>
  <si>
    <t>7262 - REG ASSET-MI CARRYING CHARGE-EECO</t>
  </si>
  <si>
    <t>7263 - REG ASSET-MI CC-EECO UNREC EQUITY</t>
  </si>
  <si>
    <t>7264 - REG ASSET-MI DSM-EECO</t>
  </si>
  <si>
    <t>7283 - REG ASSET-ROCKPORT DSI DEPR-20PCT NON-FMR</t>
  </si>
  <si>
    <t>7286 - REG ASSET-ROCKPORT DSI CC-20PCT NON-FMR</t>
  </si>
  <si>
    <t>7287 - REG ASSET-ROCKPORT DSI EQ CC-20PCT NON-FMR</t>
  </si>
  <si>
    <t>7301 - REG ASSET-IN DEF O&amp;M-DSI-20% NON-FMR</t>
  </si>
  <si>
    <t>7302 - REG ASSET-IN DEF CONSUM DSI-20% NON-FMR</t>
  </si>
  <si>
    <t>7311 - REG ASSET-MI DEFD DEPR-EECO</t>
  </si>
  <si>
    <t>7383 - REG ASSET-COOK UPRATE PROJECT</t>
  </si>
  <si>
    <t>7403 - REG ASSET-DEFD DEPREC-ROCKPORT U2</t>
  </si>
  <si>
    <t>7406 - REG ASSET-PJM EXP &amp; OSS MARGIN SHARING</t>
  </si>
  <si>
    <t>7412 - REG ASSET-MI LOW-INCOME COST RECSURCHG</t>
  </si>
  <si>
    <t>7413 - REG ASSET-MI LOW-INC CST RECSUR-CONTRA</t>
  </si>
  <si>
    <t>7415 - REG ASSET-RESOURCE ADEQUACY RIDER</t>
  </si>
  <si>
    <t>7418 - REG ASSET-IN ROCKPORT UNDER-RECOVERY</t>
  </si>
  <si>
    <t>7423 - REG ASSET-FERC Formula Rates Under Recvr</t>
  </si>
  <si>
    <t>7425 - REG ASSET-SNF Incremental Costs</t>
  </si>
  <si>
    <t>7426 - REG ASSET-Cook Plant Survey Costs</t>
  </si>
  <si>
    <t>7436 - REG ASSET-Deferral of I&amp;M Plugged in Rebate</t>
  </si>
  <si>
    <t>7447 - REG ASSET-MI Plugged IN Total CC</t>
  </si>
  <si>
    <t>7450 - REG ASSET-HEM/WEM Deferral</t>
  </si>
  <si>
    <t>7462 - REG ASSET-AMI Demand Response</t>
  </si>
  <si>
    <t>7473 - REG ASSET-Defer Nuc Decom Study Exp</t>
  </si>
  <si>
    <t>7488 - REG ASSET-NOLC Regulatory Asset</t>
  </si>
  <si>
    <t>7489 - REG ASSET-NOLC Reg Asset-Equity Carrying</t>
  </si>
  <si>
    <t>7500 - REG ASSET-IN Tax Rider Under Recovery</t>
  </si>
  <si>
    <t>7533 - REG ASSET-Prepayment- Deferred Coal</t>
  </si>
  <si>
    <t>7539 - REG ASSET-IN Montpelier Dev Costs</t>
  </si>
  <si>
    <t>7541 - REG ASSET-SO2 Allowance Inv - Recovery</t>
  </si>
  <si>
    <t>7549 - REG ASSET-MI Renewable Devl Costs</t>
  </si>
  <si>
    <t>7550 - REG ASSET-MI Renewable Devl Costs - Contra</t>
  </si>
  <si>
    <t>7551 - REG ASSET-IN Dev Cost Deferral-Total CC</t>
  </si>
  <si>
    <t>7552 - REG ASSET-IN Dev Cost Deferral-Equity CC</t>
  </si>
  <si>
    <t>7559 - REG ASSET-NBV-ARO-RETIRED PLANTS</t>
  </si>
  <si>
    <t>7568 - NUC DECOM TRUST - SFAS 143 - ARO - BK</t>
  </si>
  <si>
    <t>7569 - U1-BK DEFD NUC REFUEL COSTS</t>
  </si>
  <si>
    <t>7570 - U2-BK DEFD NUC REFUEL COSTS</t>
  </si>
  <si>
    <t>7571 - LOSS ON REACQUIRED DEBT</t>
  </si>
  <si>
    <t>7574 - REG ASSET-REACQ DEBT-RKPT U2</t>
  </si>
  <si>
    <t>7583 - SFAS 106 - MEDICARE SUBSIDY - (PPACA)-REG ASSET</t>
  </si>
  <si>
    <t>7593 - REG ASSET-ACCRUED SFAS 112</t>
  </si>
  <si>
    <t>7598 - DEFERRED I&amp;M IRP EXPENSE</t>
  </si>
  <si>
    <t>7610 - REG ASSET-MI DEMAND RESPONSE CARRYING CHARGE DEFERRAL</t>
  </si>
  <si>
    <t>8012 - MARK &amp; SPREAD-DEFL-283-A/L</t>
  </si>
  <si>
    <t>8053 - SFAS 106 PST RETIRE EXP - NON-DEDUCT CONT</t>
  </si>
  <si>
    <t>3503 - SEC ALLOC-ITC-10%</t>
  </si>
  <si>
    <t>3505 - SOLAR INVESTMENT TAX CREDIT - 30%</t>
  </si>
  <si>
    <t>3507 - QPE CREDIT - CK PLT SIMULATOR (TC)</t>
  </si>
  <si>
    <t>Accum Deferred FIT-TBBS 190.2</t>
  </si>
  <si>
    <t>pg. 263, ln. 40 (i)</t>
  </si>
  <si>
    <t>pg. 263, ln. 16 (i)</t>
  </si>
  <si>
    <t>pg. 263, ln. 17 (i)</t>
  </si>
  <si>
    <t>pg. 263, ln. 18 (i)</t>
  </si>
  <si>
    <t>pg. 263, ln. 19 (i)</t>
  </si>
  <si>
    <t>pg. 263, ln. 42 (i)</t>
  </si>
  <si>
    <t>135a</t>
  </si>
  <si>
    <t>ENERGY STORAGE PLANT INCLUDED IN PJM TARIFF</t>
  </si>
  <si>
    <t>135b</t>
  </si>
  <si>
    <r>
      <t xml:space="preserve">   </t>
    </r>
    <r>
      <rPr>
        <sz val="12"/>
        <rFont val="Arial"/>
        <family val="2"/>
      </rPr>
      <t xml:space="preserve">Total Energy Storage Plant </t>
    </r>
  </si>
  <si>
    <t>(page 2, line 27a, column 3)</t>
  </si>
  <si>
    <t>135c</t>
  </si>
  <si>
    <r>
      <t xml:space="preserve">   </t>
    </r>
    <r>
      <rPr>
        <sz val="12"/>
        <rFont val="Arial"/>
        <family val="2"/>
      </rPr>
      <t>Less Energy Storage Plant excuded from PJM Tariff (Note</t>
    </r>
    <r>
      <rPr>
        <b/>
        <sz val="12"/>
        <rFont val="Arial"/>
        <family val="2"/>
      </rPr>
      <t xml:space="preserve"> AA)</t>
    </r>
  </si>
  <si>
    <t>(Worksheet A ln 42.(f))</t>
  </si>
  <si>
    <t>135d</t>
  </si>
  <si>
    <r>
      <t xml:space="preserve">   </t>
    </r>
    <r>
      <rPr>
        <sz val="12"/>
        <rFont val="Arial"/>
        <family val="2"/>
      </rPr>
      <t>Energy Storage plant included in PJM Tariff</t>
    </r>
  </si>
  <si>
    <t>(line 135b less line 135c)</t>
  </si>
  <si>
    <t>135e</t>
  </si>
  <si>
    <t>Percentage of Energy Storage plant included in PJM Tariff</t>
  </si>
  <si>
    <t>(line 135d divided by line 135b)</t>
  </si>
  <si>
    <t>102a</t>
  </si>
  <si>
    <t xml:space="preserve">  Energy Storage</t>
  </si>
  <si>
    <t>336.9.1b</t>
  </si>
  <si>
    <t>87a</t>
  </si>
  <si>
    <t>322.131.16.b</t>
  </si>
  <si>
    <t>59a</t>
  </si>
  <si>
    <t xml:space="preserve">  Energy Storage Materials &amp; Supplies (Note BB)</t>
  </si>
  <si>
    <t>(Worksheet C, ln 2a.(F))</t>
  </si>
  <si>
    <t>45a</t>
  </si>
  <si>
    <t>27a</t>
  </si>
  <si>
    <t>27b</t>
  </si>
  <si>
    <t xml:space="preserve">  Less: Energy Storage ARO (Enter Negative) </t>
  </si>
  <si>
    <t>38a</t>
  </si>
  <si>
    <t>38b</t>
  </si>
  <si>
    <t>Energy Storage</t>
  </si>
  <si>
    <t>Energy Storage ARO</t>
  </si>
  <si>
    <t>(k)</t>
  </si>
  <si>
    <t>(l)</t>
  </si>
  <si>
    <t>FF1, page 207 Col.(g) &amp; pg. 206 Col. (b), ln 84.14</t>
  </si>
  <si>
    <t>FF1, page 207 Col.(g) &amp; pg. 206 Col. (b), ln 84.13</t>
  </si>
  <si>
    <t>FF1, page 219, ln 27.1, Col. (b)</t>
  </si>
  <si>
    <t>Excluded Energy Storage Plant  - Plant In Service</t>
  </si>
  <si>
    <t>Excluded Energy Storage Plant  - Accumulated Depreciation</t>
  </si>
  <si>
    <t>Energy Storage Materials &amp; Supplies</t>
  </si>
  <si>
    <t>FF1, p. 227, ln 10.1, Col. (c) &amp; (b)</t>
  </si>
  <si>
    <t>ES</t>
  </si>
  <si>
    <t>ES=</t>
  </si>
  <si>
    <t>139a</t>
  </si>
  <si>
    <t>354.22.1.b</t>
  </si>
  <si>
    <t>AA</t>
  </si>
  <si>
    <t>Removes energy storage plant not recovered in transmission rates as demonstrated on supporting workpaper or footnote to the Form 1, if applicable.</t>
  </si>
  <si>
    <t>BB</t>
  </si>
  <si>
    <t>Identified in Form 1 as being only energy storage related. The amount reported on Form 1 page 227, line 10.1 is entirely transmission-related unless specified in a footnote to the Form 1.</t>
  </si>
  <si>
    <t>For Year Ended December 31, 2025</t>
  </si>
  <si>
    <t>1/1/2025 Beginning  Balances</t>
  </si>
  <si>
    <t>12/31/2025 Ending Balance</t>
  </si>
  <si>
    <t>Accum Deferred SIT - Excess</t>
  </si>
  <si>
    <t>Accum Deferred SIT - Excess 283.4002</t>
  </si>
  <si>
    <t>Acc Dfrd SIT FAS 109 Flow Thru</t>
  </si>
  <si>
    <t>Fairs, Shows, and Exhibits</t>
  </si>
  <si>
    <t>Ohio Income Tax Rate</t>
  </si>
  <si>
    <t>New Jersey Income Tax Rate</t>
  </si>
  <si>
    <t>2015 - DEFICIENT ADFIT 190 - PROTECTED</t>
  </si>
  <si>
    <t>7039 - ACCRD LEASED ASSET BK RENT EXP</t>
  </si>
  <si>
    <t>7633 - FRINGE BENEFIT LOADING - PENSION</t>
  </si>
  <si>
    <t>7634 - FRINGE BENEFIT LOADING - OPEB</t>
  </si>
  <si>
    <t>2016 - DEFICIENT ADFIT 190 - UNPROTECTED</t>
  </si>
  <si>
    <t>7626 - MI ADMS, DERMS GRANT DEFERRAL</t>
  </si>
  <si>
    <t>6518 - CWIP FinBased Incen - Gen</t>
  </si>
  <si>
    <t>6521 - RWIP FinBased Incen - Gen</t>
  </si>
  <si>
    <t>7031 - PROV BLACK LUNG TRUST - LT</t>
  </si>
  <si>
    <t>7128 - REG ASSET-DEFERRED EQUITY CARRYING CHGS</t>
  </si>
  <si>
    <t>6516 - CWIP FinBased Incen - Trans</t>
  </si>
  <si>
    <t>6519 - RWIP FinBased Incen - Trans</t>
  </si>
  <si>
    <t>6517 - CWIP FinBased Incen - Distr</t>
  </si>
  <si>
    <t>6520 - RWIP FinBased Incen - Distr</t>
  </si>
  <si>
    <t>7652 - LSE Formula Rate Deferral</t>
  </si>
  <si>
    <t>7679 - Defer Small Modular Reactor (SMR) O&amp;M Costs</t>
  </si>
  <si>
    <t>7642 - IN Elec Trans Plan Carrying Charge Deferral</t>
  </si>
  <si>
    <t>7643 - IN Elec Trans Plan Unrecognized Equity CC</t>
  </si>
  <si>
    <t>7644 - IN Elec Trans Plan O&amp;M Deferral</t>
  </si>
  <si>
    <t>ADFIT - FAS 109 Excess</t>
  </si>
  <si>
    <t>1904001</t>
  </si>
  <si>
    <t>1904002</t>
  </si>
  <si>
    <t>ADSIT - FAS 109 Excess (State Gross Up)</t>
  </si>
  <si>
    <t>Mix</t>
  </si>
  <si>
    <t>WVHB2026</t>
  </si>
  <si>
    <t>2834001</t>
  </si>
  <si>
    <t>ADFIT - FAS 109 Excess (Fed Gross Up)</t>
  </si>
  <si>
    <t>2834002</t>
  </si>
  <si>
    <t>1k</t>
  </si>
  <si>
    <t>1l</t>
  </si>
  <si>
    <t>1m</t>
  </si>
  <si>
    <t>1n</t>
  </si>
  <si>
    <t>1o</t>
  </si>
  <si>
    <r>
      <t>190</t>
    </r>
    <r>
      <rPr>
        <sz val="10"/>
        <color rgb="FFFF0000"/>
        <rFont val="Arial"/>
        <family val="2"/>
      </rPr>
      <t>1</t>
    </r>
    <r>
      <rPr>
        <sz val="10"/>
        <rFont val="Arial"/>
        <family val="2"/>
      </rPr>
      <t>001</t>
    </r>
  </si>
  <si>
    <r>
      <t>190</t>
    </r>
    <r>
      <rPr>
        <sz val="9"/>
        <color rgb="FFFF0000"/>
        <rFont val="Arial"/>
        <family val="2"/>
      </rPr>
      <t>4</t>
    </r>
    <r>
      <rPr>
        <sz val="9"/>
        <rFont val="Arial"/>
        <family val="2"/>
      </rPr>
      <t>002</t>
    </r>
  </si>
  <si>
    <r>
      <t>283</t>
    </r>
    <r>
      <rPr>
        <sz val="7.65"/>
        <color rgb="FFFF0000"/>
        <rFont val="Arial"/>
        <family val="2"/>
      </rPr>
      <t>4</t>
    </r>
    <r>
      <rPr>
        <sz val="9"/>
        <rFont val="Arial"/>
        <family val="2"/>
      </rPr>
      <t>001</t>
    </r>
  </si>
  <si>
    <r>
      <t>283</t>
    </r>
    <r>
      <rPr>
        <sz val="7.65"/>
        <color rgb="FFFF0000"/>
        <rFont val="Arial"/>
        <family val="2"/>
      </rPr>
      <t>4</t>
    </r>
    <r>
      <rPr>
        <sz val="9"/>
        <rFont val="Arial"/>
        <family val="2"/>
      </rPr>
      <t>002</t>
    </r>
  </si>
  <si>
    <t>4i</t>
  </si>
  <si>
    <t>4j</t>
  </si>
  <si>
    <t>4k</t>
  </si>
  <si>
    <t>4l</t>
  </si>
  <si>
    <t>4m</t>
  </si>
  <si>
    <t>Publicity</t>
  </si>
  <si>
    <t>9301010</t>
  </si>
  <si>
    <t>pg. 263, ln. 45 (i)</t>
  </si>
  <si>
    <t>pg. 263, ln. 15 (i)</t>
  </si>
  <si>
    <t>pg. 263, ln. 22 (i)</t>
  </si>
  <si>
    <t>2d</t>
  </si>
  <si>
    <t>Regulatory Liability - State Excess ADFIT</t>
  </si>
  <si>
    <t>5d</t>
  </si>
  <si>
    <t>Senior Unsecured Notes - Series H</t>
  </si>
  <si>
    <t>Senior Unsecured Notes - Series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</si>
</sst>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quot;$&quot;#,##0.000000000000"/>
    <numFmt numFmtId="176" formatCode="0.0000%"/>
    <numFmt numFmtId="177" formatCode="_(* #,##0.0_);_(* \(#,##0.0\);_(* &quot;-&quot;??_);_(@_)"/>
    <numFmt numFmtId="178" formatCode="0.000000"/>
    <numFmt numFmtId="179" formatCode="_(* #,##0.0000_);_(* \(#,##0.0000\);_(* &quot;-&quot;_);_(@_)"/>
    <numFmt numFmtId="180" formatCode="_(* #,##0.00000_);_(* \(#,##0.00000\);_(* &quot;-&quot;_);_(@_)"/>
    <numFmt numFmtId="181" formatCode="_(* #,##0.0000000000_);_(* \(#,##0.0000000000\);_(* &quot;-&quot;_);_(@_)"/>
    <numFmt numFmtId="182" formatCode="_(* #,##0.00000_);_(* \(#,##0.00000\);_(* &quot;-&quot;??_);_(@_)"/>
    <numFmt numFmtId="183" formatCode="#,##0.0000000"/>
    <numFmt numFmtId="184" formatCode="_(* #,##0.0000000_);_(* \(#,##0.0000000\);_(* &quot;-&quot;_);_(@_)"/>
    <numFmt numFmtId="185" formatCode="#,##0\ ;\(#,##0\)"/>
    <numFmt numFmtId="186" formatCode="_(* #,##0.0000_);_(* \(#,##0.0000\);_(* &quot;-&quot;??_);_(@_)"/>
    <numFmt numFmtId="187" formatCode="_(* #,##0.000_);_(* \(#,##0.000\);_(* &quot;-&quot;_);_(@_)"/>
    <numFmt numFmtId="188" formatCode="#,##0.000000"/>
    <numFmt numFmtId="189" formatCode="mmmm\ d\,\ yyyy"/>
    <numFmt numFmtId="190" formatCode="m/d/yy;@"/>
    <numFmt numFmtId="191" formatCode="0.000"/>
    <numFmt numFmtId="192" formatCode="0.000000_)"/>
    <numFmt numFmtId="193" formatCode="#,##0.000000_);\(#,##0.000000\)"/>
    <numFmt numFmtId="194" formatCode="0_);\(0\)"/>
    <numFmt numFmtId="195" formatCode="0.0"/>
    <numFmt numFmtId="196" formatCode="&quot;$&quot;#,##0.0000"/>
    <numFmt numFmtId="197" formatCode="[$-409]mmm\-yy;@"/>
    <numFmt numFmtId="198" formatCode="#,##0_);[Red]\(#,##0\);&quot; &quot;"/>
    <numFmt numFmtId="199" formatCode="_(* #,##0.00_);_(* \(#,##0.00\);_(* &quot;-&quot;_);_(@_)"/>
    <numFmt numFmtId="200" formatCode="_(* #,##0.000_);_(* \(#,##0.000\);_(* &quot;-&quot;??_);_(@_)"/>
    <numFmt numFmtId="201" formatCode="mm/dd/yy_)"/>
    <numFmt numFmtId="202" formatCode="#,##0.0000000000_);\(#,##0.0000000000\)"/>
  </numFmts>
  <fonts count="18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color indexed="10"/>
      <name val="Arial"/>
      <family val="2"/>
    </font>
    <font>
      <sz val="10"/>
      <color indexed="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10"/>
      <color indexed="12"/>
      <name val="Arial"/>
      <family val="2"/>
    </font>
    <font>
      <b/>
      <sz val="12"/>
      <color indexed="12"/>
      <name val="Arial"/>
      <family val="2"/>
    </font>
    <font>
      <sz val="10"/>
      <color indexed="10"/>
      <name val="Arial"/>
      <family val="2"/>
    </font>
    <font>
      <sz val="12"/>
      <color indexed="10"/>
      <name val="Arial"/>
      <family val="2"/>
    </font>
    <font>
      <sz val="9"/>
      <name val="Arial"/>
      <family val="2"/>
    </font>
    <font>
      <b/>
      <sz val="9"/>
      <name val="Arial"/>
      <family val="2"/>
    </font>
    <font>
      <sz val="12"/>
      <name val="Arial"/>
      <family val="2"/>
    </font>
    <font>
      <sz val="12"/>
      <color indexed="12"/>
      <name val="Arial"/>
      <family val="2"/>
    </font>
    <font>
      <i/>
      <sz val="12"/>
      <name val="Arial"/>
      <family val="2"/>
    </font>
    <font>
      <b/>
      <sz val="12"/>
      <color indexed="10"/>
      <name val="Helv"/>
    </font>
    <font>
      <b/>
      <sz val="12"/>
      <color indexed="10"/>
      <name val="Arial Narrow"/>
      <family val="2"/>
    </font>
    <font>
      <b/>
      <sz val="18"/>
      <name val="Arial"/>
      <family val="2"/>
    </font>
    <font>
      <sz val="10"/>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b/>
      <sz val="10"/>
      <color indexed="8"/>
      <name val="Arial"/>
      <family val="2"/>
    </font>
    <font>
      <b/>
      <sz val="10"/>
      <color indexed="12"/>
      <name val="Arial"/>
      <family val="2"/>
    </font>
    <font>
      <sz val="10"/>
      <name val="Helv"/>
    </font>
    <font>
      <sz val="14"/>
      <name val="Helv"/>
    </font>
    <font>
      <sz val="14"/>
      <color indexed="12"/>
      <name val="Arial"/>
      <family val="2"/>
    </font>
    <font>
      <b/>
      <u/>
      <sz val="14"/>
      <name val="Helv"/>
    </font>
    <font>
      <b/>
      <sz val="14"/>
      <name val="Helv"/>
    </font>
    <font>
      <sz val="14"/>
      <name val="Arial"/>
      <family val="2"/>
    </font>
    <font>
      <b/>
      <sz val="12"/>
      <name val="Arial MT"/>
    </font>
    <font>
      <sz val="14"/>
      <color indexed="12"/>
      <name val="Helv"/>
    </font>
    <font>
      <b/>
      <sz val="10"/>
      <color indexed="10"/>
      <name val="Arial Narrow"/>
      <family val="2"/>
    </font>
    <font>
      <b/>
      <u/>
      <sz val="14"/>
      <name val="Arial"/>
      <family val="2"/>
    </font>
    <font>
      <u/>
      <sz val="12"/>
      <name val="Arial MT"/>
    </font>
    <font>
      <u/>
      <sz val="12"/>
      <name val="Times New Roman"/>
      <family val="1"/>
    </font>
    <font>
      <sz val="10"/>
      <color indexed="12"/>
      <name val="Times New Roman"/>
      <family val="1"/>
    </font>
    <font>
      <u val="singleAccounting"/>
      <sz val="10"/>
      <name val="Arial"/>
      <family val="2"/>
    </font>
    <font>
      <strike/>
      <sz val="12"/>
      <color indexed="10"/>
      <name val="Arial"/>
      <family val="2"/>
    </font>
    <font>
      <sz val="12"/>
      <color indexed="10"/>
      <name val="Arial MT"/>
    </font>
    <font>
      <b/>
      <strike/>
      <u/>
      <sz val="10"/>
      <color indexed="10"/>
      <name val="Arial"/>
      <family val="2"/>
    </font>
    <font>
      <strike/>
      <u/>
      <sz val="10"/>
      <color indexed="10"/>
      <name val="Arial"/>
      <family val="2"/>
    </font>
    <font>
      <sz val="8"/>
      <name val="Arial"/>
      <family val="2"/>
    </font>
    <font>
      <b/>
      <i/>
      <u/>
      <sz val="10"/>
      <name val="Arial"/>
      <family val="2"/>
    </font>
    <font>
      <strike/>
      <sz val="14"/>
      <color indexed="10"/>
      <name val="Helv"/>
    </font>
    <font>
      <b/>
      <i/>
      <u/>
      <sz val="12"/>
      <name val="Arial"/>
      <family val="2"/>
    </font>
    <font>
      <b/>
      <sz val="10"/>
      <name val="Times New Roman"/>
      <family val="1"/>
    </font>
    <font>
      <b/>
      <sz val="12"/>
      <name val="Times New Roman"/>
      <family val="1"/>
    </font>
    <font>
      <strike/>
      <sz val="12"/>
      <name val="Arial"/>
      <family val="2"/>
    </font>
    <font>
      <b/>
      <sz val="10"/>
      <name val="Arial"/>
      <family val="2"/>
    </font>
    <font>
      <b/>
      <u val="singleAccounting"/>
      <sz val="10"/>
      <name val="Arial"/>
      <family val="2"/>
    </font>
    <font>
      <b/>
      <strike/>
      <sz val="10"/>
      <name val="Arial"/>
      <family val="2"/>
    </font>
    <font>
      <b/>
      <sz val="10"/>
      <name val="Arial Narrow"/>
      <family val="2"/>
    </font>
    <font>
      <b/>
      <strike/>
      <u/>
      <sz val="10"/>
      <name val="Arial"/>
      <family val="2"/>
    </font>
    <font>
      <sz val="10"/>
      <color indexed="8"/>
      <name val="Helv"/>
    </font>
    <font>
      <sz val="13"/>
      <name val="Times New Roman"/>
      <family val="1"/>
    </font>
    <font>
      <sz val="10"/>
      <name val="Arial"/>
      <family val="2"/>
    </font>
    <font>
      <sz val="10"/>
      <name val="Arial MT"/>
    </font>
    <font>
      <u/>
      <sz val="11"/>
      <name val="Arial"/>
      <family val="2"/>
    </font>
    <font>
      <sz val="12"/>
      <name val="Arial Black"/>
      <family val="2"/>
    </font>
    <font>
      <sz val="10"/>
      <color indexed="12"/>
      <name val="Courier"/>
      <family val="3"/>
    </font>
    <font>
      <i/>
      <sz val="12"/>
      <name val="Arial Condensed Bold"/>
    </font>
    <font>
      <i/>
      <sz val="12"/>
      <color indexed="12"/>
      <name val="Arial Condensed Bold"/>
    </font>
    <font>
      <b/>
      <i/>
      <sz val="12"/>
      <color indexed="12"/>
      <name val="Arial MT"/>
    </font>
    <font>
      <b/>
      <i/>
      <sz val="12"/>
      <name val="Arial MT"/>
    </font>
    <font>
      <b/>
      <sz val="10"/>
      <color indexed="17"/>
      <name val="Courier"/>
      <family val="3"/>
    </font>
    <font>
      <b/>
      <sz val="12"/>
      <color indexed="17"/>
      <name val="Arial MT"/>
    </font>
    <font>
      <b/>
      <u/>
      <sz val="12"/>
      <name val="Arial MT"/>
    </font>
    <font>
      <sz val="12"/>
      <name val="Arial"/>
      <family val="2"/>
    </font>
    <font>
      <sz val="16"/>
      <name val="Arial"/>
      <family val="2"/>
    </font>
    <font>
      <sz val="12"/>
      <name val="Arial"/>
      <family val="2"/>
    </font>
    <font>
      <sz val="10"/>
      <name val="Arial"/>
      <family val="2"/>
    </font>
    <font>
      <sz val="12"/>
      <name val="Arial Narrow"/>
      <family val="2"/>
    </font>
    <font>
      <b/>
      <sz val="12"/>
      <name val="Arial Narrow"/>
      <family val="2"/>
    </font>
    <font>
      <b/>
      <u/>
      <sz val="12"/>
      <name val="Arial Narrow"/>
      <family val="2"/>
    </font>
    <font>
      <sz val="10"/>
      <color indexed="9"/>
      <name val="Arial"/>
      <family val="2"/>
    </font>
    <font>
      <sz val="11"/>
      <color indexed="12"/>
      <name val="Arial"/>
      <family val="2"/>
    </font>
    <font>
      <sz val="10"/>
      <name val="Arial"/>
      <family val="2"/>
    </font>
    <font>
      <sz val="10"/>
      <name val="Arial"/>
      <family val="2"/>
    </font>
    <font>
      <sz val="10"/>
      <name val="Arial"/>
      <family val="2"/>
    </font>
    <font>
      <b/>
      <i/>
      <sz val="12"/>
      <name val="Times New Roman"/>
      <family val="1"/>
    </font>
    <font>
      <sz val="10"/>
      <color indexed="40"/>
      <name val="Arial"/>
      <family val="2"/>
    </font>
    <font>
      <sz val="10"/>
      <color indexed="40"/>
      <name val="Times New Roman"/>
      <family val="1"/>
    </font>
    <font>
      <sz val="10"/>
      <name val="Arial"/>
      <family val="2"/>
    </font>
    <font>
      <strike/>
      <sz val="10"/>
      <name val="Cambria"/>
      <family val="1"/>
    </font>
    <font>
      <b/>
      <strike/>
      <sz val="12"/>
      <color indexed="10"/>
      <name val="Arial"/>
      <family val="2"/>
    </font>
    <font>
      <sz val="10"/>
      <name val="Arial"/>
      <family val="2"/>
    </font>
    <font>
      <sz val="14"/>
      <name val="Cambria"/>
      <family val="1"/>
    </font>
    <font>
      <sz val="12"/>
      <name val="Cambria"/>
      <family val="1"/>
    </font>
    <font>
      <b/>
      <sz val="12"/>
      <name val="Arial Black"/>
      <family val="2"/>
    </font>
    <font>
      <b/>
      <sz val="12"/>
      <name val="Arial Condensed Bold"/>
    </font>
    <font>
      <sz val="10"/>
      <name val="Arial"/>
      <family val="2"/>
    </font>
    <font>
      <b/>
      <i/>
      <sz val="12"/>
      <name val="Cambria"/>
      <family val="1"/>
    </font>
    <font>
      <sz val="10"/>
      <name val="Cambria"/>
      <family val="1"/>
    </font>
    <font>
      <sz val="12"/>
      <color indexed="10"/>
      <name val="Cambria"/>
      <family val="1"/>
    </font>
    <font>
      <b/>
      <sz val="10"/>
      <name val="Cambria"/>
      <family val="1"/>
    </font>
    <font>
      <sz val="10"/>
      <color indexed="10"/>
      <name val="Cambria"/>
      <family val="1"/>
    </font>
    <font>
      <u/>
      <sz val="10"/>
      <name val="Cambria"/>
      <family val="1"/>
    </font>
    <font>
      <u/>
      <sz val="10"/>
      <color indexed="10"/>
      <name val="Cambria"/>
      <family val="1"/>
    </font>
    <font>
      <u/>
      <sz val="10"/>
      <color indexed="8"/>
      <name val="Cambria"/>
      <family val="1"/>
    </font>
    <font>
      <sz val="10"/>
      <color indexed="12"/>
      <name val="Cambria"/>
      <family val="1"/>
    </font>
    <font>
      <b/>
      <u/>
      <sz val="10"/>
      <name val="Cambria"/>
      <family val="1"/>
    </font>
    <font>
      <sz val="10"/>
      <name val="Arial"/>
      <family val="2"/>
    </font>
    <font>
      <b/>
      <u/>
      <sz val="11"/>
      <name val="Arial"/>
      <family val="2"/>
    </font>
    <font>
      <sz val="11"/>
      <color theme="1"/>
      <name val="Calibri"/>
      <family val="2"/>
      <scheme val="minor"/>
    </font>
    <font>
      <sz val="11"/>
      <color theme="1"/>
      <name val="Calibri"/>
      <family val="2"/>
    </font>
    <font>
      <sz val="10"/>
      <color rgb="FF0000FF"/>
      <name val="Arial"/>
      <family val="2"/>
    </font>
    <font>
      <sz val="8"/>
      <color theme="1"/>
      <name val="Calibri"/>
      <family val="2"/>
      <scheme val="minor"/>
    </font>
    <font>
      <sz val="10"/>
      <color rgb="FFFF0000"/>
      <name val="Arial"/>
      <family val="2"/>
    </font>
    <font>
      <strike/>
      <sz val="12"/>
      <color rgb="FFFF0000"/>
      <name val="Cambria"/>
      <family val="1"/>
    </font>
    <font>
      <sz val="12"/>
      <color rgb="FFFF0000"/>
      <name val="Arial"/>
      <family val="2"/>
    </font>
    <font>
      <b/>
      <sz val="10"/>
      <color rgb="FFFF0000"/>
      <name val="Arial"/>
      <family val="2"/>
    </font>
    <font>
      <sz val="14"/>
      <color rgb="FFFF0000"/>
      <name val="Arial"/>
      <family val="2"/>
    </font>
    <font>
      <b/>
      <sz val="14"/>
      <color rgb="FFFF0000"/>
      <name val="Arial"/>
      <family val="2"/>
    </font>
    <font>
      <strike/>
      <sz val="14"/>
      <color rgb="FFFF0000"/>
      <name val="Arial"/>
      <family val="2"/>
    </font>
    <font>
      <strike/>
      <sz val="14"/>
      <color indexed="10"/>
      <name val="Arial"/>
      <family val="2"/>
    </font>
    <font>
      <u/>
      <sz val="14"/>
      <name val="Arial"/>
      <family val="2"/>
    </font>
    <font>
      <sz val="14"/>
      <color indexed="8"/>
      <name val="Arial"/>
      <family val="2"/>
    </font>
    <font>
      <sz val="14"/>
      <color indexed="23"/>
      <name val="Arial"/>
      <family val="2"/>
    </font>
    <font>
      <sz val="14"/>
      <color indexed="9"/>
      <name val="Arial"/>
      <family val="2"/>
    </font>
    <font>
      <sz val="12"/>
      <name val="Arial MT"/>
      <family val="2"/>
    </font>
    <font>
      <sz val="9"/>
      <color rgb="FFFF0000"/>
      <name val="Arial"/>
      <family val="2"/>
    </font>
    <font>
      <sz val="9"/>
      <name val="Arial MT"/>
      <family val="2"/>
    </font>
    <font>
      <sz val="10"/>
      <color theme="1"/>
      <name val="Arial"/>
      <family val="2"/>
    </font>
    <font>
      <sz val="11"/>
      <color indexed="8"/>
      <name val="Calibri"/>
      <family val="2"/>
    </font>
    <font>
      <i/>
      <sz val="12"/>
      <name val="Arial MT"/>
    </font>
    <font>
      <sz val="9"/>
      <color indexed="81"/>
      <name val="Tahoma"/>
      <family val="2"/>
    </font>
    <font>
      <b/>
      <sz val="9"/>
      <color indexed="81"/>
      <name val="Tahoma"/>
      <family val="2"/>
    </font>
    <font>
      <b/>
      <sz val="9"/>
      <name val="Calibri Light"/>
      <family val="2"/>
    </font>
    <font>
      <sz val="7.65"/>
      <color rgb="FFFF0000"/>
      <name val="Arial"/>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indexed="42"/>
        <bgColor indexed="64"/>
      </patternFill>
    </fill>
    <fill>
      <patternFill patternType="solid">
        <fgColor indexed="55"/>
        <bgColor indexed="64"/>
      </patternFill>
    </fill>
    <fill>
      <patternFill patternType="solid">
        <fgColor indexed="27"/>
        <bgColor indexed="64"/>
      </patternFill>
    </fill>
    <fill>
      <patternFill patternType="solid">
        <fgColor theme="0"/>
        <bgColor indexed="64"/>
      </patternFill>
    </fill>
    <fill>
      <patternFill patternType="solid">
        <fgColor rgb="FFCCFFFF"/>
        <bgColor indexed="64"/>
      </patternFill>
    </fill>
    <fill>
      <patternFill patternType="solid">
        <fgColor rgb="FFFFFF00"/>
        <bgColor indexed="64"/>
      </patternFill>
    </fill>
    <fill>
      <patternFill patternType="solid">
        <fgColor theme="0" tint="-0.24991607409894101"/>
        <bgColor indexed="64"/>
      </patternFill>
    </fill>
    <fill>
      <patternFill patternType="darkUp">
        <bgColor theme="0" tint="-0.14990691854609822"/>
      </patternFill>
    </fill>
    <fill>
      <patternFill patternType="solid">
        <fgColor rgb="FFFFC000"/>
        <bgColor indexed="64"/>
      </patternFill>
    </fill>
    <fill>
      <patternFill patternType="darkUp">
        <bgColor theme="0"/>
      </patternFill>
    </fill>
  </fills>
  <borders count="70">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top style="medium">
        <color indexed="8"/>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bottom style="medium">
        <color indexed="8"/>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8"/>
      </top>
      <bottom/>
      <diagonal/>
    </border>
    <border>
      <left/>
      <right/>
      <top style="double">
        <color indexed="8"/>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uble">
        <color auto="1"/>
      </bottom>
      <diagonal/>
    </border>
    <border>
      <left/>
      <right/>
      <top style="double">
        <color auto="1"/>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medium">
        <color indexed="64"/>
      </bottom>
      <diagonal/>
    </border>
    <border>
      <left/>
      <right/>
      <top style="thin">
        <color auto="1"/>
      </top>
      <bottom style="double">
        <color auto="1"/>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66">
    <xf numFmtId="0" fontId="0" fillId="0" borderId="0"/>
    <xf numFmtId="0" fontId="39" fillId="2" borderId="0" applyNumberFormat="0" applyBorder="0" applyAlignment="0" applyProtection="0"/>
    <xf numFmtId="0" fontId="39" fillId="2"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8"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9" borderId="0" applyNumberFormat="0" applyBorder="0" applyAlignment="0" applyProtection="0"/>
    <xf numFmtId="0" fontId="40" fillId="19"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172" fontId="42" fillId="0" borderId="0" applyFill="0"/>
    <xf numFmtId="172" fontId="42" fillId="0" borderId="0">
      <alignment horizontal="center"/>
    </xf>
    <xf numFmtId="0" fontId="42" fillId="0" borderId="0" applyFill="0">
      <alignment horizontal="center"/>
    </xf>
    <xf numFmtId="172" fontId="8" fillId="0" borderId="1" applyFill="0"/>
    <xf numFmtId="0" fontId="16" fillId="0" borderId="0" applyFont="0" applyAlignment="0"/>
    <xf numFmtId="0" fontId="43" fillId="0" borderId="0" applyFill="0">
      <alignment vertical="top"/>
    </xf>
    <xf numFmtId="0" fontId="8" fillId="0" borderId="0" applyFill="0">
      <alignment horizontal="left" vertical="top"/>
    </xf>
    <xf numFmtId="172" fontId="10" fillId="0" borderId="2" applyFill="0"/>
    <xf numFmtId="0" fontId="16" fillId="0" borderId="0" applyNumberFormat="0" applyFont="0" applyAlignment="0"/>
    <xf numFmtId="0" fontId="43" fillId="0" borderId="0" applyFill="0">
      <alignment wrapText="1"/>
    </xf>
    <xf numFmtId="0" fontId="8" fillId="0" borderId="0" applyFill="0">
      <alignment horizontal="left" vertical="top" wrapText="1"/>
    </xf>
    <xf numFmtId="172" fontId="44" fillId="0" borderId="0" applyFill="0"/>
    <xf numFmtId="0" fontId="45" fillId="0" borderId="0" applyNumberFormat="0" applyFont="0" applyAlignment="0">
      <alignment horizontal="center"/>
    </xf>
    <xf numFmtId="0" fontId="46" fillId="0" borderId="0" applyFill="0">
      <alignment vertical="top" wrapText="1"/>
    </xf>
    <xf numFmtId="0" fontId="10" fillId="0" borderId="0" applyFill="0">
      <alignment horizontal="left" vertical="top" wrapText="1"/>
    </xf>
    <xf numFmtId="172" fontId="16" fillId="0" borderId="0" applyFill="0"/>
    <xf numFmtId="0" fontId="45" fillId="0" borderId="0" applyNumberFormat="0" applyFont="0" applyAlignment="0">
      <alignment horizontal="center"/>
    </xf>
    <xf numFmtId="0" fontId="32" fillId="0" borderId="0" applyFill="0">
      <alignment vertical="center" wrapText="1"/>
    </xf>
    <xf numFmtId="0" fontId="9" fillId="0" borderId="0">
      <alignment horizontal="left" vertical="center" wrapText="1"/>
    </xf>
    <xf numFmtId="172" fontId="28" fillId="0" borderId="0" applyFill="0"/>
    <xf numFmtId="0" fontId="45" fillId="0" borderId="0" applyNumberFormat="0" applyFont="0" applyAlignment="0">
      <alignment horizontal="center"/>
    </xf>
    <xf numFmtId="0" fontId="20" fillId="0" borderId="0" applyFill="0">
      <alignment horizontal="center" vertical="center" wrapText="1"/>
    </xf>
    <xf numFmtId="0" fontId="16" fillId="0" borderId="0" applyFill="0">
      <alignment horizontal="center" vertical="center" wrapText="1"/>
    </xf>
    <xf numFmtId="172" fontId="47" fillId="0" borderId="0" applyFill="0"/>
    <xf numFmtId="0" fontId="45" fillId="0" borderId="0" applyNumberFormat="0" applyFont="0" applyAlignment="0">
      <alignment horizontal="center"/>
    </xf>
    <xf numFmtId="0" fontId="48" fillId="0" borderId="0" applyFill="0">
      <alignment horizontal="center" vertical="center" wrapText="1"/>
    </xf>
    <xf numFmtId="0" fontId="49" fillId="0" borderId="0" applyFill="0">
      <alignment horizontal="center" vertical="center" wrapText="1"/>
    </xf>
    <xf numFmtId="172" fontId="50" fillId="0" borderId="0" applyFill="0"/>
    <xf numFmtId="0" fontId="45" fillId="0" borderId="0" applyNumberFormat="0" applyFont="0" applyAlignment="0">
      <alignment horizontal="center"/>
    </xf>
    <xf numFmtId="0" fontId="51" fillId="0" borderId="0">
      <alignment horizontal="center" wrapText="1"/>
    </xf>
    <xf numFmtId="0" fontId="47" fillId="0" borderId="0" applyFill="0">
      <alignment horizontal="center" wrapText="1"/>
    </xf>
    <xf numFmtId="0" fontId="52" fillId="20" borderId="3" applyNumberFormat="0" applyAlignment="0" applyProtection="0"/>
    <xf numFmtId="0" fontId="52" fillId="20" borderId="3" applyNumberFormat="0" applyAlignment="0" applyProtection="0"/>
    <xf numFmtId="0" fontId="53" fillId="21" borderId="4" applyNumberFormat="0" applyAlignment="0" applyProtection="0"/>
    <xf numFmtId="0" fontId="53" fillId="21" borderId="4" applyNumberFormat="0" applyAlignment="0" applyProtection="0"/>
    <xf numFmtId="43" fontId="6" fillId="0" borderId="0" applyFont="0" applyFill="0" applyBorder="0" applyAlignment="0" applyProtection="0"/>
    <xf numFmtId="43" fontId="154"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2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2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33" fillId="0" borderId="0" applyFont="0" applyFill="0" applyBorder="0" applyAlignment="0" applyProtection="0"/>
    <xf numFmtId="43" fontId="16" fillId="0" borderId="0" applyFont="0" applyFill="0" applyBorder="0" applyAlignment="0" applyProtection="0"/>
    <xf numFmtId="43" fontId="136" fillId="0" borderId="0" applyFont="0" applyFill="0" applyBorder="0" applyAlignment="0" applyProtection="0"/>
    <xf numFmtId="43" fontId="16" fillId="0" borderId="0" applyFont="0" applyFill="0" applyBorder="0" applyAlignment="0" applyProtection="0"/>
    <xf numFmtId="43" fontId="152" fillId="0" borderId="0" applyFont="0" applyFill="0" applyBorder="0" applyAlignment="0" applyProtection="0"/>
    <xf numFmtId="43" fontId="152" fillId="0" borderId="0" applyFont="0" applyFill="0" applyBorder="0" applyAlignment="0" applyProtection="0"/>
    <xf numFmtId="43" fontId="154" fillId="0" borderId="0" applyFont="0" applyFill="0" applyBorder="0" applyAlignment="0" applyProtection="0"/>
    <xf numFmtId="43" fontId="16" fillId="0" borderId="0" applyFont="0" applyFill="0" applyBorder="0" applyAlignment="0" applyProtection="0"/>
    <xf numFmtId="43" fontId="133" fillId="0" borderId="0" applyFont="0" applyFill="0" applyBorder="0" applyAlignment="0" applyProtection="0"/>
    <xf numFmtId="43" fontId="16" fillId="0" borderId="0" applyFont="0" applyFill="0" applyBorder="0" applyAlignment="0" applyProtection="0"/>
    <xf numFmtId="43" fontId="154" fillId="0" borderId="0" applyFont="0" applyFill="0" applyBorder="0" applyAlignment="0" applyProtection="0"/>
    <xf numFmtId="43" fontId="16" fillId="0" borderId="0" applyFont="0" applyFill="0" applyBorder="0" applyAlignment="0" applyProtection="0"/>
    <xf numFmtId="43" fontId="154" fillId="0" borderId="0" applyFont="0" applyFill="0" applyBorder="0" applyAlignment="0" applyProtection="0"/>
    <xf numFmtId="43" fontId="141" fillId="0" borderId="0" applyFont="0" applyFill="0" applyBorder="0" applyAlignment="0" applyProtection="0"/>
    <xf numFmtId="43" fontId="16" fillId="0" borderId="0" applyFont="0" applyFill="0" applyBorder="0" applyAlignment="0" applyProtection="0"/>
    <xf numFmtId="43" fontId="152" fillId="0" borderId="0" applyFont="0" applyFill="0" applyBorder="0" applyAlignment="0" applyProtection="0"/>
    <xf numFmtId="43" fontId="152" fillId="0" borderId="0" applyFont="0" applyFill="0" applyBorder="0" applyAlignment="0" applyProtection="0"/>
    <xf numFmtId="43" fontId="6" fillId="0" borderId="0" applyFont="0" applyFill="0" applyBorder="0" applyAlignment="0" applyProtection="0"/>
    <xf numFmtId="3" fontId="16" fillId="0" borderId="0" applyFont="0" applyFill="0" applyBorder="0" applyAlignment="0" applyProtection="0"/>
    <xf numFmtId="44" fontId="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6" fillId="0" borderId="0" applyFont="0" applyFill="0" applyBorder="0" applyAlignment="0" applyProtection="0"/>
    <xf numFmtId="44" fontId="16" fillId="0" borderId="0" applyFont="0" applyFill="0" applyBorder="0" applyAlignment="0" applyProtection="0"/>
    <xf numFmtId="44" fontId="128"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29"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33" fillId="0" borderId="0" applyFont="0" applyFill="0" applyBorder="0" applyAlignment="0" applyProtection="0"/>
    <xf numFmtId="44" fontId="16" fillId="0" borderId="0" applyFont="0" applyFill="0" applyBorder="0" applyAlignment="0" applyProtection="0"/>
    <xf numFmtId="44" fontId="152" fillId="0" borderId="0" applyFont="0" applyFill="0" applyBorder="0" applyAlignment="0" applyProtection="0"/>
    <xf numFmtId="44" fontId="152" fillId="0" borderId="0" applyFont="0" applyFill="0" applyBorder="0" applyAlignment="0" applyProtection="0"/>
    <xf numFmtId="44" fontId="154" fillId="0" borderId="0" applyFont="0" applyFill="0" applyBorder="0" applyAlignment="0" applyProtection="0"/>
    <xf numFmtId="44" fontId="16" fillId="0" borderId="0" applyFont="0" applyFill="0" applyBorder="0" applyAlignment="0" applyProtection="0"/>
    <xf numFmtId="44" fontId="133" fillId="0" borderId="0" applyFont="0" applyFill="0" applyBorder="0" applyAlignment="0" applyProtection="0"/>
    <xf numFmtId="44" fontId="16" fillId="0" borderId="0" applyFont="0" applyFill="0" applyBorder="0" applyAlignment="0" applyProtection="0"/>
    <xf numFmtId="44" fontId="154" fillId="0" borderId="0" applyFont="0" applyFill="0" applyBorder="0" applyAlignment="0" applyProtection="0"/>
    <xf numFmtId="44" fontId="152" fillId="0" borderId="0" applyFont="0" applyFill="0" applyBorder="0" applyAlignment="0" applyProtection="0"/>
    <xf numFmtId="44" fontId="152" fillId="0" borderId="0" applyFont="0" applyFill="0" applyBorder="0" applyAlignment="0" applyProtection="0"/>
    <xf numFmtId="5" fontId="16" fillId="0" borderId="0" applyFont="0" applyFill="0" applyBorder="0" applyAlignment="0" applyProtection="0"/>
    <xf numFmtId="14" fontId="16"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2" fontId="16" fillId="0" borderId="0" applyFont="0" applyFill="0" applyBorder="0" applyAlignment="0" applyProtection="0"/>
    <xf numFmtId="0" fontId="55" fillId="4" borderId="0" applyNumberFormat="0" applyBorder="0" applyAlignment="0" applyProtection="0"/>
    <xf numFmtId="0" fontId="55" fillId="4" borderId="0" applyNumberFormat="0" applyBorder="0" applyAlignment="0" applyProtection="0"/>
    <xf numFmtId="0" fontId="35" fillId="0" borderId="0" applyFont="0" applyFill="0" applyBorder="0" applyAlignment="0" applyProtection="0"/>
    <xf numFmtId="0" fontId="35"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56" fillId="0" borderId="5" applyNumberFormat="0" applyFill="0" applyAlignment="0" applyProtection="0"/>
    <xf numFmtId="0" fontId="56" fillId="0" borderId="5"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6"/>
    <xf numFmtId="0" fontId="58" fillId="0" borderId="0"/>
    <xf numFmtId="0" fontId="59" fillId="7" borderId="3" applyNumberFormat="0" applyAlignment="0" applyProtection="0"/>
    <xf numFmtId="0" fontId="59" fillId="7" borderId="3" applyNumberFormat="0" applyAlignment="0" applyProtection="0"/>
    <xf numFmtId="0" fontId="60" fillId="0" borderId="7" applyNumberFormat="0" applyFill="0" applyAlignment="0" applyProtection="0"/>
    <xf numFmtId="0" fontId="60" fillId="0" borderId="7" applyNumberFormat="0" applyFill="0" applyAlignment="0" applyProtection="0"/>
    <xf numFmtId="0" fontId="61" fillId="22" borderId="0" applyNumberFormat="0" applyBorder="0" applyAlignment="0" applyProtection="0"/>
    <xf numFmtId="0" fontId="61" fillId="22" borderId="0" applyNumberFormat="0" applyBorder="0" applyAlignment="0" applyProtection="0"/>
    <xf numFmtId="3" fontId="128" fillId="0" borderId="0"/>
    <xf numFmtId="3" fontId="16" fillId="0" borderId="0"/>
    <xf numFmtId="3" fontId="16" fillId="0" borderId="0"/>
    <xf numFmtId="3" fontId="128" fillId="0" borderId="0"/>
    <xf numFmtId="0" fontId="16" fillId="0" borderId="0"/>
    <xf numFmtId="3" fontId="16" fillId="0" borderId="0"/>
    <xf numFmtId="3" fontId="128" fillId="0" borderId="0"/>
    <xf numFmtId="3" fontId="16" fillId="0" borderId="0"/>
    <xf numFmtId="0" fontId="154" fillId="0" borderId="0"/>
    <xf numFmtId="3" fontId="128" fillId="0" borderId="0"/>
    <xf numFmtId="3" fontId="16" fillId="0" borderId="0"/>
    <xf numFmtId="3" fontId="128" fillId="0" borderId="0"/>
    <xf numFmtId="3" fontId="16" fillId="0" borderId="0"/>
    <xf numFmtId="0" fontId="16" fillId="0" borderId="0"/>
    <xf numFmtId="3" fontId="128" fillId="0" borderId="0"/>
    <xf numFmtId="3" fontId="16" fillId="0" borderId="0"/>
    <xf numFmtId="3" fontId="128" fillId="0" borderId="0"/>
    <xf numFmtId="3" fontId="16" fillId="0" borderId="0"/>
    <xf numFmtId="3" fontId="128" fillId="0" borderId="0"/>
    <xf numFmtId="3" fontId="16" fillId="0" borderId="0"/>
    <xf numFmtId="3" fontId="129" fillId="0" borderId="0"/>
    <xf numFmtId="3" fontId="16" fillId="0" borderId="0"/>
    <xf numFmtId="0" fontId="16" fillId="0" borderId="0"/>
    <xf numFmtId="0" fontId="127" fillId="0" borderId="0"/>
    <xf numFmtId="0" fontId="155" fillId="0" borderId="0"/>
    <xf numFmtId="0" fontId="16" fillId="0" borderId="0"/>
    <xf numFmtId="0" fontId="16" fillId="0" borderId="0"/>
    <xf numFmtId="0" fontId="155" fillId="0" borderId="0"/>
    <xf numFmtId="0" fontId="16" fillId="0" borderId="0"/>
    <xf numFmtId="0" fontId="16" fillId="0" borderId="0"/>
    <xf numFmtId="3" fontId="129" fillId="0" borderId="0"/>
    <xf numFmtId="3" fontId="16" fillId="0" borderId="0"/>
    <xf numFmtId="3" fontId="129" fillId="0" borderId="0"/>
    <xf numFmtId="3" fontId="16" fillId="0" borderId="0"/>
    <xf numFmtId="3" fontId="129" fillId="0" borderId="0"/>
    <xf numFmtId="3" fontId="16" fillId="0" borderId="0"/>
    <xf numFmtId="3" fontId="129" fillId="0" borderId="0"/>
    <xf numFmtId="3" fontId="16" fillId="0" borderId="0"/>
    <xf numFmtId="3" fontId="129" fillId="0" borderId="0"/>
    <xf numFmtId="3" fontId="16" fillId="0" borderId="0"/>
    <xf numFmtId="3" fontId="129" fillId="0" borderId="0"/>
    <xf numFmtId="3" fontId="16" fillId="0" borderId="0"/>
    <xf numFmtId="3" fontId="129" fillId="0" borderId="0"/>
    <xf numFmtId="3" fontId="16" fillId="0" borderId="0"/>
    <xf numFmtId="3" fontId="16" fillId="0" borderId="0"/>
    <xf numFmtId="3" fontId="136" fillId="0" borderId="0"/>
    <xf numFmtId="3" fontId="16" fillId="0" borderId="0"/>
    <xf numFmtId="3" fontId="136" fillId="0" borderId="0"/>
    <xf numFmtId="3" fontId="16" fillId="0" borderId="0"/>
    <xf numFmtId="0" fontId="16" fillId="0" borderId="0"/>
    <xf numFmtId="0" fontId="16" fillId="0" borderId="0"/>
    <xf numFmtId="3" fontId="16" fillId="0" borderId="0"/>
    <xf numFmtId="0" fontId="16" fillId="0" borderId="0"/>
    <xf numFmtId="0" fontId="6" fillId="0" borderId="0"/>
    <xf numFmtId="0" fontId="16" fillId="0" borderId="0"/>
    <xf numFmtId="0" fontId="128" fillId="0" borderId="0"/>
    <xf numFmtId="0" fontId="16" fillId="0" borderId="0"/>
    <xf numFmtId="0" fontId="16" fillId="0" borderId="0"/>
    <xf numFmtId="0" fontId="129" fillId="0" borderId="0"/>
    <xf numFmtId="0" fontId="16" fillId="0" borderId="0"/>
    <xf numFmtId="0" fontId="16" fillId="0" borderId="0"/>
    <xf numFmtId="0" fontId="16" fillId="0" borderId="0"/>
    <xf numFmtId="0" fontId="133" fillId="0" borderId="0"/>
    <xf numFmtId="0" fontId="16" fillId="0" borderId="0"/>
    <xf numFmtId="0" fontId="136" fillId="0" borderId="0"/>
    <xf numFmtId="0" fontId="16" fillId="0" borderId="0"/>
    <xf numFmtId="0" fontId="152" fillId="0" borderId="0"/>
    <xf numFmtId="0" fontId="152" fillId="0" borderId="0"/>
    <xf numFmtId="0" fontId="16" fillId="0" borderId="0"/>
    <xf numFmtId="3" fontId="121" fillId="0" borderId="0"/>
    <xf numFmtId="3" fontId="16" fillId="0" borderId="0"/>
    <xf numFmtId="0" fontId="16" fillId="0" borderId="0"/>
    <xf numFmtId="3" fontId="16" fillId="0" borderId="0"/>
    <xf numFmtId="0" fontId="16" fillId="0" borderId="0"/>
    <xf numFmtId="0" fontId="154" fillId="0" borderId="0"/>
    <xf numFmtId="0" fontId="128" fillId="0" borderId="0"/>
    <xf numFmtId="0" fontId="16" fillId="0" borderId="0"/>
    <xf numFmtId="0" fontId="16" fillId="0" borderId="0"/>
    <xf numFmtId="0" fontId="129" fillId="0" borderId="0"/>
    <xf numFmtId="0" fontId="16" fillId="0" borderId="0"/>
    <xf numFmtId="0" fontId="136" fillId="0" borderId="0"/>
    <xf numFmtId="0" fontId="16" fillId="0" borderId="0"/>
    <xf numFmtId="0" fontId="154" fillId="0" borderId="0"/>
    <xf numFmtId="0" fontId="16" fillId="0" borderId="0"/>
    <xf numFmtId="0" fontId="154" fillId="0" borderId="0"/>
    <xf numFmtId="0" fontId="16" fillId="0" borderId="0"/>
    <xf numFmtId="0" fontId="154" fillId="0" borderId="0"/>
    <xf numFmtId="0" fontId="16" fillId="0" borderId="0"/>
    <xf numFmtId="0" fontId="7" fillId="0" borderId="0" applyProtection="0"/>
    <xf numFmtId="0" fontId="6" fillId="0" borderId="0"/>
    <xf numFmtId="0" fontId="129" fillId="0" borderId="0"/>
    <xf numFmtId="0" fontId="16" fillId="0" borderId="0"/>
    <xf numFmtId="0" fontId="16" fillId="0" borderId="0"/>
    <xf numFmtId="0" fontId="133" fillId="0" borderId="0"/>
    <xf numFmtId="172" fontId="7" fillId="0" borderId="0" applyProtection="0"/>
    <xf numFmtId="0" fontId="6" fillId="0" borderId="0"/>
    <xf numFmtId="0" fontId="6" fillId="0" borderId="0"/>
    <xf numFmtId="172" fontId="7" fillId="0" borderId="0" applyProtection="0"/>
    <xf numFmtId="0" fontId="74" fillId="0" borderId="0"/>
    <xf numFmtId="0" fontId="7" fillId="0" borderId="0"/>
    <xf numFmtId="0" fontId="16" fillId="0" borderId="0"/>
    <xf numFmtId="0" fontId="6" fillId="0" borderId="0"/>
    <xf numFmtId="0" fontId="7" fillId="23" borderId="8" applyNumberFormat="0" applyFont="0" applyAlignment="0" applyProtection="0"/>
    <xf numFmtId="0" fontId="7" fillId="23" borderId="8" applyNumberFormat="0" applyFont="0" applyAlignment="0" applyProtection="0"/>
    <xf numFmtId="0" fontId="62" fillId="20" borderId="9" applyNumberFormat="0" applyAlignment="0" applyProtection="0"/>
    <xf numFmtId="0" fontId="62" fillId="20" borderId="9" applyNumberFormat="0" applyAlignment="0" applyProtection="0"/>
    <xf numFmtId="9" fontId="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6" fillId="0" borderId="0" applyFont="0" applyFill="0" applyBorder="0" applyAlignment="0" applyProtection="0"/>
    <xf numFmtId="9" fontId="16" fillId="0" borderId="0" applyFont="0" applyFill="0" applyBorder="0" applyAlignment="0" applyProtection="0"/>
    <xf numFmtId="9" fontId="12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29"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33" fillId="0" borderId="0" applyFont="0" applyFill="0" applyBorder="0" applyAlignment="0" applyProtection="0"/>
    <xf numFmtId="9" fontId="16" fillId="0" borderId="0" applyFont="0" applyFill="0" applyBorder="0" applyAlignment="0" applyProtection="0"/>
    <xf numFmtId="9" fontId="152" fillId="0" borderId="0" applyFont="0" applyFill="0" applyBorder="0" applyAlignment="0" applyProtection="0"/>
    <xf numFmtId="9" fontId="152" fillId="0" borderId="0" applyFont="0" applyFill="0" applyBorder="0" applyAlignment="0" applyProtection="0"/>
    <xf numFmtId="9" fontId="154"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33" fillId="0" borderId="0" applyFont="0" applyFill="0" applyBorder="0" applyAlignment="0" applyProtection="0"/>
    <xf numFmtId="9" fontId="16" fillId="0" borderId="0" applyFont="0" applyFill="0" applyBorder="0" applyAlignment="0" applyProtection="0"/>
    <xf numFmtId="9" fontId="154" fillId="0" borderId="0" applyFont="0" applyFill="0" applyBorder="0" applyAlignment="0" applyProtection="0"/>
    <xf numFmtId="9" fontId="141" fillId="0" borderId="0" applyFont="0" applyFill="0" applyBorder="0" applyAlignment="0" applyProtection="0"/>
    <xf numFmtId="9" fontId="16" fillId="0" borderId="0" applyFont="0" applyFill="0" applyBorder="0" applyAlignment="0" applyProtection="0"/>
    <xf numFmtId="9" fontId="152" fillId="0" borderId="0" applyFont="0" applyFill="0" applyBorder="0" applyAlignment="0" applyProtection="0"/>
    <xf numFmtId="9" fontId="152" fillId="0" borderId="0" applyFont="0" applyFill="0" applyBorder="0" applyAlignment="0" applyProtection="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3" fontId="16" fillId="0" borderId="0">
      <alignment horizontal="left" vertical="top"/>
    </xf>
    <xf numFmtId="0" fontId="38" fillId="0" borderId="6">
      <alignment horizontal="center"/>
    </xf>
    <xf numFmtId="3" fontId="37" fillId="0" borderId="0" applyFont="0" applyFill="0" applyBorder="0" applyAlignment="0" applyProtection="0"/>
    <xf numFmtId="0" fontId="37" fillId="24" borderId="0" applyNumberFormat="0" applyFont="0" applyBorder="0" applyAlignment="0" applyProtection="0"/>
    <xf numFmtId="3" fontId="16" fillId="0" borderId="0">
      <alignment horizontal="right" vertical="top"/>
    </xf>
    <xf numFmtId="41" fontId="9" fillId="25" borderId="10" applyFill="0"/>
    <xf numFmtId="0" fontId="63" fillId="0" borderId="0">
      <alignment horizontal="left" indent="7"/>
    </xf>
    <xf numFmtId="41" fontId="9" fillId="0" borderId="10" applyFill="0">
      <alignment horizontal="left" indent="2"/>
    </xf>
    <xf numFmtId="172" fontId="29" fillId="0" borderId="11" applyFill="0">
      <alignment horizontal="right"/>
    </xf>
    <xf numFmtId="0" fontId="13" fillId="0" borderId="12" applyNumberFormat="0" applyFont="0" applyBorder="0">
      <alignment horizontal="right"/>
    </xf>
    <xf numFmtId="0" fontId="64" fillId="0" borderId="0" applyFill="0"/>
    <xf numFmtId="0" fontId="10" fillId="0" borderId="0" applyFill="0"/>
    <xf numFmtId="4" fontId="29" fillId="0" borderId="11" applyFill="0"/>
    <xf numFmtId="0" fontId="16" fillId="0" borderId="0" applyNumberFormat="0" applyFont="0" applyBorder="0" applyAlignment="0"/>
    <xf numFmtId="0" fontId="46" fillId="0" borderId="0" applyFill="0">
      <alignment horizontal="left" indent="1"/>
    </xf>
    <xf numFmtId="0" fontId="65" fillId="0" borderId="0" applyFill="0">
      <alignment horizontal="left" indent="1"/>
    </xf>
    <xf numFmtId="4" fontId="28" fillId="0" borderId="0" applyFill="0"/>
    <xf numFmtId="0" fontId="16" fillId="0" borderId="0" applyNumberFormat="0" applyFont="0" applyFill="0" applyBorder="0" applyAlignment="0"/>
    <xf numFmtId="0" fontId="46" fillId="0" borderId="0" applyFill="0">
      <alignment horizontal="left" indent="2"/>
    </xf>
    <xf numFmtId="0" fontId="10" fillId="0" borderId="0" applyFill="0">
      <alignment horizontal="left" indent="2"/>
    </xf>
    <xf numFmtId="4" fontId="28" fillId="0" borderId="0" applyFill="0"/>
    <xf numFmtId="0" fontId="16" fillId="0" borderId="0" applyNumberFormat="0" applyFont="0" applyBorder="0" applyAlignment="0"/>
    <xf numFmtId="0" fontId="66" fillId="0" borderId="0">
      <alignment horizontal="left" indent="3"/>
    </xf>
    <xf numFmtId="0" fontId="67" fillId="0" borderId="0" applyFill="0">
      <alignment horizontal="left" indent="3"/>
    </xf>
    <xf numFmtId="4" fontId="28" fillId="0" borderId="0" applyFill="0"/>
    <xf numFmtId="0" fontId="16" fillId="0" borderId="0" applyNumberFormat="0" applyFont="0" applyBorder="0" applyAlignment="0"/>
    <xf numFmtId="0" fontId="20" fillId="0" borderId="0">
      <alignment horizontal="left" indent="4"/>
    </xf>
    <xf numFmtId="0" fontId="16" fillId="0" borderId="0" applyFill="0">
      <alignment horizontal="left" indent="4"/>
    </xf>
    <xf numFmtId="4" fontId="47" fillId="0" borderId="0" applyFill="0"/>
    <xf numFmtId="0" fontId="16" fillId="0" borderId="0" applyNumberFormat="0" applyFont="0" applyBorder="0" applyAlignment="0"/>
    <xf numFmtId="0" fontId="48" fillId="0" borderId="0">
      <alignment horizontal="left" indent="5"/>
    </xf>
    <xf numFmtId="0" fontId="49" fillId="0" borderId="0" applyFill="0">
      <alignment horizontal="left" indent="5"/>
    </xf>
    <xf numFmtId="4" fontId="50" fillId="0" borderId="0" applyFill="0"/>
    <xf numFmtId="0" fontId="16" fillId="0" borderId="0" applyNumberFormat="0" applyFont="0" applyFill="0" applyBorder="0" applyAlignment="0"/>
    <xf numFmtId="0" fontId="51" fillId="0" borderId="0" applyFill="0">
      <alignment horizontal="left" indent="6"/>
    </xf>
    <xf numFmtId="0" fontId="47" fillId="0" borderId="0" applyFill="0">
      <alignment horizontal="left" indent="6"/>
    </xf>
    <xf numFmtId="0" fontId="68" fillId="0" borderId="0" applyNumberFormat="0" applyFill="0" applyBorder="0" applyAlignment="0" applyProtection="0"/>
    <xf numFmtId="0" fontId="68" fillId="0" borderId="0" applyNumberForma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5" fillId="0" borderId="0"/>
    <xf numFmtId="0" fontId="6" fillId="0" borderId="0"/>
    <xf numFmtId="9" fontId="170" fillId="0" borderId="0" applyFont="0" applyFill="0" applyBorder="0" applyAlignment="0" applyProtection="0"/>
    <xf numFmtId="9" fontId="6" fillId="0" borderId="0" applyFont="0" applyFill="0" applyBorder="0" applyAlignment="0" applyProtection="0"/>
    <xf numFmtId="172" fontId="170" fillId="0" borderId="0" applyProtection="0"/>
    <xf numFmtId="43" fontId="5" fillId="0" borderId="0" applyFont="0" applyFill="0" applyBorder="0" applyAlignment="0" applyProtection="0"/>
    <xf numFmtId="43" fontId="170" fillId="0" borderId="0" applyFont="0" applyFill="0" applyBorder="0" applyAlignment="0" applyProtection="0"/>
    <xf numFmtId="0" fontId="4" fillId="0" borderId="0"/>
    <xf numFmtId="172" fontId="8" fillId="0" borderId="58" applyFill="0"/>
    <xf numFmtId="0" fontId="6" fillId="0" borderId="0" applyFont="0" applyAlignment="0"/>
    <xf numFmtId="172" fontId="10" fillId="0" borderId="59" applyFill="0"/>
    <xf numFmtId="0" fontId="6" fillId="0" borderId="0" applyNumberFormat="0" applyFont="0" applyAlignment="0"/>
    <xf numFmtId="172" fontId="6" fillId="0" borderId="0" applyFill="0"/>
    <xf numFmtId="0" fontId="6" fillId="0" borderId="0" applyFill="0">
      <alignment horizontal="center" vertical="center" wrapText="1"/>
    </xf>
    <xf numFmtId="0" fontId="52" fillId="20" borderId="60" applyNumberFormat="0" applyAlignment="0" applyProtection="0"/>
    <xf numFmtId="0" fontId="52" fillId="20" borderId="60" applyNumberFormat="0" applyAlignment="0" applyProtection="0"/>
    <xf numFmtId="43" fontId="6" fillId="0" borderId="0" applyFont="0" applyFill="0" applyBorder="0" applyAlignment="0" applyProtection="0"/>
    <xf numFmtId="43" fontId="17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7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74" fillId="0" borderId="0" applyFont="0" applyFill="0" applyBorder="0" applyAlignment="0" applyProtection="0"/>
    <xf numFmtId="43" fontId="6" fillId="0" borderId="0" applyFont="0" applyFill="0" applyBorder="0" applyAlignment="0" applyProtection="0"/>
    <xf numFmtId="43" fontId="17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7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7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5" fontId="6" fillId="0" borderId="0" applyFont="0" applyFill="0" applyBorder="0" applyAlignment="0" applyProtection="0"/>
    <xf numFmtId="14" fontId="6" fillId="0" borderId="0" applyFont="0" applyFill="0" applyBorder="0" applyAlignment="0" applyProtection="0"/>
    <xf numFmtId="2" fontId="6" fillId="0" borderId="0" applyFont="0" applyFill="0" applyBorder="0" applyAlignment="0" applyProtection="0"/>
    <xf numFmtId="0" fontId="59" fillId="7" borderId="60" applyNumberFormat="0" applyAlignment="0" applyProtection="0"/>
    <xf numFmtId="0" fontId="59" fillId="7" borderId="60" applyNumberFormat="0" applyAlignment="0" applyProtection="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0" fontId="3" fillId="0" borderId="0"/>
    <xf numFmtId="3" fontId="6" fillId="0" borderId="0"/>
    <xf numFmtId="3" fontId="6" fillId="0" borderId="0"/>
    <xf numFmtId="3" fontId="6" fillId="0" borderId="0"/>
    <xf numFmtId="3" fontId="6" fillId="0" borderId="0"/>
    <xf numFmtId="0"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0" fontId="6" fillId="0" borderId="0"/>
    <xf numFmtId="0" fontId="6" fillId="0" borderId="0"/>
    <xf numFmtId="3" fontId="6" fillId="0" borderId="0"/>
    <xf numFmtId="3"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 fontId="6" fillId="0" borderId="0"/>
    <xf numFmtId="3" fontId="6" fillId="0" borderId="0"/>
    <xf numFmtId="0" fontId="6" fillId="0" borderId="0"/>
    <xf numFmtId="3" fontId="6" fillId="0" borderId="0"/>
    <xf numFmtId="0" fontId="6"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7" fillId="23" borderId="61" applyNumberFormat="0" applyFont="0" applyAlignment="0" applyProtection="0"/>
    <xf numFmtId="0" fontId="7" fillId="23" borderId="61" applyNumberFormat="0" applyFont="0" applyAlignment="0" applyProtection="0"/>
    <xf numFmtId="0" fontId="62" fillId="20" borderId="62" applyNumberFormat="0" applyAlignment="0" applyProtection="0"/>
    <xf numFmtId="0" fontId="62" fillId="20" borderId="62"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3" fontId="6" fillId="0" borderId="0">
      <alignment horizontal="left" vertical="top"/>
    </xf>
    <xf numFmtId="3" fontId="6" fillId="0" borderId="0">
      <alignment horizontal="right" vertical="top"/>
    </xf>
    <xf numFmtId="0" fontId="13" fillId="0" borderId="54" applyNumberFormat="0" applyFont="0" applyBorder="0">
      <alignment horizontal="right"/>
    </xf>
    <xf numFmtId="0" fontId="6" fillId="0" borderId="0" applyNumberFormat="0" applyFont="0" applyBorder="0" applyAlignment="0"/>
    <xf numFmtId="0" fontId="6" fillId="0" borderId="0" applyNumberFormat="0" applyFont="0" applyFill="0" applyBorder="0" applyAlignment="0"/>
    <xf numFmtId="0" fontId="6" fillId="0" borderId="0" applyNumberFormat="0" applyFont="0" applyBorder="0" applyAlignment="0"/>
    <xf numFmtId="0" fontId="6" fillId="0" borderId="0" applyNumberFormat="0" applyFont="0" applyBorder="0" applyAlignment="0"/>
    <xf numFmtId="0" fontId="6" fillId="0" borderId="0" applyFill="0">
      <alignment horizontal="left" indent="4"/>
    </xf>
    <xf numFmtId="0" fontId="6" fillId="0" borderId="0" applyNumberFormat="0" applyFont="0" applyBorder="0" applyAlignment="0"/>
    <xf numFmtId="0" fontId="6" fillId="0" borderId="0" applyNumberFormat="0" applyFont="0" applyFill="0" applyBorder="0" applyAlignment="0"/>
    <xf numFmtId="0" fontId="6" fillId="0" borderId="0" applyFont="0" applyFill="0" applyBorder="0" applyAlignment="0" applyProtection="0"/>
    <xf numFmtId="0" fontId="6" fillId="0" borderId="0" applyFont="0" applyFill="0" applyBorder="0" applyAlignment="0" applyProtection="0"/>
    <xf numFmtId="0" fontId="6" fillId="0" borderId="0"/>
    <xf numFmtId="0" fontId="3" fillId="0" borderId="0"/>
    <xf numFmtId="9" fontId="170" fillId="0" borderId="0" applyFont="0" applyFill="0" applyBorder="0" applyAlignment="0" applyProtection="0"/>
    <xf numFmtId="172" fontId="170" fillId="0" borderId="0" applyProtection="0"/>
    <xf numFmtId="43" fontId="3" fillId="0" borderId="0" applyFont="0" applyFill="0" applyBorder="0" applyAlignment="0" applyProtection="0"/>
    <xf numFmtId="43" fontId="170" fillId="0" borderId="0" applyFont="0" applyFill="0" applyBorder="0" applyAlignment="0" applyProtection="0"/>
    <xf numFmtId="172" fontId="170" fillId="0" borderId="0" applyProtection="0"/>
    <xf numFmtId="44" fontId="173" fillId="0" borderId="0" applyFont="0" applyFill="0" applyBorder="0" applyAlignment="0" applyProtection="0"/>
    <xf numFmtId="42" fontId="173" fillId="0" borderId="0" applyFont="0" applyFill="0" applyBorder="0" applyAlignment="0" applyProtection="0"/>
    <xf numFmtId="41" fontId="173" fillId="0" borderId="0" applyFont="0" applyFill="0" applyBorder="0" applyAlignment="0" applyProtection="0"/>
    <xf numFmtId="0" fontId="3" fillId="0" borderId="0"/>
    <xf numFmtId="43" fontId="3" fillId="0" borderId="0" applyFont="0" applyFill="0" applyBorder="0" applyAlignment="0" applyProtection="0"/>
    <xf numFmtId="0" fontId="6" fillId="0" borderId="0"/>
    <xf numFmtId="172" fontId="7" fillId="0" borderId="0" applyProtection="0"/>
    <xf numFmtId="43" fontId="7" fillId="0" borderId="0" applyFont="0" applyFill="0" applyBorder="0" applyAlignment="0" applyProtection="0"/>
    <xf numFmtId="0" fontId="2" fillId="0" borderId="0"/>
    <xf numFmtId="9" fontId="7" fillId="0" borderId="0" applyFont="0" applyFill="0" applyBorder="0" applyAlignment="0" applyProtection="0"/>
    <xf numFmtId="43" fontId="1" fillId="0" borderId="0" applyFont="0" applyFill="0" applyBorder="0" applyAlignment="0" applyProtection="0"/>
    <xf numFmtId="43" fontId="170" fillId="0" borderId="0" applyFont="0" applyFill="0" applyBorder="0" applyAlignment="0" applyProtection="0"/>
    <xf numFmtId="0" fontId="6" fillId="0" borderId="0"/>
  </cellStyleXfs>
  <cellXfs count="1328">
    <xf numFmtId="0" fontId="0" fillId="0" borderId="0" xfId="0"/>
    <xf numFmtId="0" fontId="0" fillId="0" borderId="0" xfId="0" applyAlignment="1">
      <alignment horizontal="center"/>
    </xf>
    <xf numFmtId="0" fontId="9" fillId="0" borderId="0" xfId="0" applyFont="1"/>
    <xf numFmtId="3" fontId="9" fillId="0" borderId="0" xfId="0" applyNumberFormat="1" applyFont="1" applyAlignment="1">
      <alignment horizontal="center"/>
    </xf>
    <xf numFmtId="0" fontId="16" fillId="0" borderId="0" xfId="0" applyFont="1"/>
    <xf numFmtId="0" fontId="13" fillId="0" borderId="0" xfId="253" applyFont="1" applyAlignment="1">
      <alignment horizontal="center"/>
    </xf>
    <xf numFmtId="0" fontId="19" fillId="0" borderId="0" xfId="253" applyFont="1"/>
    <xf numFmtId="9" fontId="13" fillId="0" borderId="0" xfId="253" quotePrefix="1" applyNumberFormat="1" applyFont="1" applyAlignment="1">
      <alignment horizontal="center"/>
    </xf>
    <xf numFmtId="0" fontId="21" fillId="0" borderId="0" xfId="253" applyFont="1" applyAlignment="1">
      <alignment horizontal="right"/>
    </xf>
    <xf numFmtId="0" fontId="21" fillId="0" borderId="0" xfId="253" applyFont="1" applyAlignment="1">
      <alignment horizontal="center"/>
    </xf>
    <xf numFmtId="9" fontId="13" fillId="0" borderId="0" xfId="253" applyNumberFormat="1" applyFont="1" applyAlignment="1">
      <alignment horizontal="center"/>
    </xf>
    <xf numFmtId="0" fontId="22" fillId="0" borderId="0" xfId="0" applyFont="1" applyAlignment="1">
      <alignment horizontal="right"/>
    </xf>
    <xf numFmtId="0" fontId="0" fillId="0" borderId="0" xfId="0" applyAlignment="1">
      <alignment wrapText="1"/>
    </xf>
    <xf numFmtId="0" fontId="8" fillId="0" borderId="0" xfId="0" applyFont="1"/>
    <xf numFmtId="0" fontId="19" fillId="0" borderId="0" xfId="0" applyFont="1"/>
    <xf numFmtId="0" fontId="22" fillId="0" borderId="0" xfId="0" applyFont="1"/>
    <xf numFmtId="0" fontId="8" fillId="0" borderId="0" xfId="0" applyFont="1" applyAlignment="1">
      <alignment wrapText="1"/>
    </xf>
    <xf numFmtId="0" fontId="16" fillId="0" borderId="0" xfId="253" applyFont="1"/>
    <xf numFmtId="41" fontId="16" fillId="0" borderId="0" xfId="253" applyNumberFormat="1" applyFont="1"/>
    <xf numFmtId="0" fontId="19" fillId="0" borderId="0" xfId="253" applyFont="1" applyAlignment="1">
      <alignment horizontal="left"/>
    </xf>
    <xf numFmtId="3" fontId="16" fillId="0" borderId="0" xfId="0" applyNumberFormat="1" applyFont="1"/>
    <xf numFmtId="0" fontId="9" fillId="0" borderId="0" xfId="253" applyFont="1" applyAlignment="1">
      <alignment horizontal="right"/>
    </xf>
    <xf numFmtId="40" fontId="16" fillId="0" borderId="0" xfId="0" applyNumberFormat="1" applyFont="1"/>
    <xf numFmtId="0" fontId="9" fillId="0" borderId="0" xfId="253" applyFont="1"/>
    <xf numFmtId="0" fontId="13" fillId="0" borderId="0" xfId="253" applyFont="1" applyAlignment="1">
      <alignment horizontal="left"/>
    </xf>
    <xf numFmtId="0" fontId="13" fillId="0" borderId="0" xfId="253" applyFont="1"/>
    <xf numFmtId="0" fontId="16" fillId="0" borderId="0" xfId="253" applyFont="1" applyAlignment="1">
      <alignment horizontal="left"/>
    </xf>
    <xf numFmtId="0" fontId="10" fillId="0" borderId="0" xfId="253" applyFont="1" applyAlignment="1">
      <alignment horizontal="center"/>
    </xf>
    <xf numFmtId="37" fontId="9" fillId="0" borderId="0" xfId="0" applyNumberFormat="1" applyFont="1"/>
    <xf numFmtId="0" fontId="30" fillId="0" borderId="0" xfId="0" applyFont="1"/>
    <xf numFmtId="0" fontId="9" fillId="0" borderId="0" xfId="0" applyFont="1" applyAlignment="1">
      <alignment horizontal="center"/>
    </xf>
    <xf numFmtId="37" fontId="9" fillId="0" borderId="0" xfId="0" applyNumberFormat="1" applyFont="1" applyAlignment="1">
      <alignment horizontal="center"/>
    </xf>
    <xf numFmtId="10" fontId="9" fillId="0" borderId="0" xfId="0" applyNumberFormat="1" applyFont="1"/>
    <xf numFmtId="176" fontId="9" fillId="0" borderId="0" xfId="0" applyNumberFormat="1" applyFont="1"/>
    <xf numFmtId="3" fontId="23" fillId="0" borderId="0" xfId="0" applyNumberFormat="1" applyFont="1"/>
    <xf numFmtId="41" fontId="31" fillId="0" borderId="0" xfId="253" applyNumberFormat="1" applyFont="1"/>
    <xf numFmtId="0" fontId="32" fillId="0" borderId="0" xfId="253" applyFont="1" applyAlignment="1">
      <alignment horizontal="left"/>
    </xf>
    <xf numFmtId="0" fontId="30" fillId="0" borderId="0" xfId="253" applyFont="1"/>
    <xf numFmtId="41" fontId="30" fillId="0" borderId="0" xfId="253" applyNumberFormat="1" applyFont="1" applyAlignment="1">
      <alignment vertical="top"/>
    </xf>
    <xf numFmtId="181" fontId="30" fillId="0" borderId="0" xfId="253" applyNumberFormat="1" applyFont="1"/>
    <xf numFmtId="41" fontId="30" fillId="0" borderId="0" xfId="253" applyNumberFormat="1" applyFont="1"/>
    <xf numFmtId="0" fontId="30" fillId="0" borderId="0" xfId="253" applyFont="1" applyAlignment="1">
      <alignment horizontal="left"/>
    </xf>
    <xf numFmtId="0" fontId="33" fillId="0" borderId="0" xfId="253" applyFont="1"/>
    <xf numFmtId="0" fontId="30" fillId="0" borderId="0" xfId="253" applyFont="1" applyAlignment="1">
      <alignment horizontal="center"/>
    </xf>
    <xf numFmtId="0" fontId="14" fillId="0" borderId="0" xfId="253" applyFont="1" applyAlignment="1">
      <alignment horizontal="center"/>
    </xf>
    <xf numFmtId="173" fontId="30" fillId="0" borderId="0" xfId="253" applyNumberFormat="1" applyFont="1"/>
    <xf numFmtId="173" fontId="30" fillId="0" borderId="0" xfId="253" applyNumberFormat="1" applyFont="1" applyAlignment="1">
      <alignment vertical="top"/>
    </xf>
    <xf numFmtId="41" fontId="30" fillId="0" borderId="13" xfId="253" applyNumberFormat="1" applyFont="1" applyBorder="1"/>
    <xf numFmtId="173" fontId="10" fillId="0" borderId="0" xfId="86" applyNumberFormat="1" applyFont="1" applyFill="1" applyAlignment="1">
      <alignment horizontal="center"/>
    </xf>
    <xf numFmtId="0" fontId="9" fillId="0" borderId="0" xfId="253" applyFont="1" applyAlignment="1">
      <alignment horizontal="center"/>
    </xf>
    <xf numFmtId="0" fontId="34" fillId="0" borderId="0" xfId="253" applyFont="1"/>
    <xf numFmtId="41" fontId="9" fillId="0" borderId="13" xfId="253" applyNumberFormat="1" applyFont="1" applyBorder="1"/>
    <xf numFmtId="38" fontId="16" fillId="0" borderId="0" xfId="0" applyNumberFormat="1" applyFont="1"/>
    <xf numFmtId="43" fontId="9" fillId="0" borderId="0" xfId="253" applyNumberFormat="1" applyFont="1"/>
    <xf numFmtId="3" fontId="9" fillId="0" borderId="0" xfId="0" applyNumberFormat="1" applyFont="1"/>
    <xf numFmtId="41" fontId="31" fillId="25" borderId="0" xfId="253" applyNumberFormat="1" applyFont="1" applyFill="1"/>
    <xf numFmtId="0" fontId="11" fillId="0" borderId="0" xfId="214" applyFont="1" applyAlignment="1">
      <alignment horizontal="left"/>
    </xf>
    <xf numFmtId="0" fontId="16" fillId="0" borderId="0" xfId="214"/>
    <xf numFmtId="0" fontId="16" fillId="0" borderId="0" xfId="214" applyAlignment="1">
      <alignment horizontal="center"/>
    </xf>
    <xf numFmtId="0" fontId="16" fillId="0" borderId="0" xfId="214" applyAlignment="1">
      <alignment horizontal="left"/>
    </xf>
    <xf numFmtId="0" fontId="13" fillId="0" borderId="0" xfId="214" applyFont="1" applyAlignment="1">
      <alignment horizontal="left"/>
    </xf>
    <xf numFmtId="0" fontId="16" fillId="0" borderId="0" xfId="214" applyAlignment="1">
      <alignment horizontal="center" wrapText="1"/>
    </xf>
    <xf numFmtId="3" fontId="16" fillId="0" borderId="0" xfId="214" applyNumberFormat="1"/>
    <xf numFmtId="173" fontId="16" fillId="0" borderId="0" xfId="89" applyNumberFormat="1" applyFont="1" applyFill="1" applyBorder="1" applyAlignment="1">
      <alignment horizontal="right"/>
    </xf>
    <xf numFmtId="0" fontId="12" fillId="0" borderId="0" xfId="214" applyFont="1"/>
    <xf numFmtId="0" fontId="13" fillId="0" borderId="0" xfId="214" applyFont="1"/>
    <xf numFmtId="0" fontId="13" fillId="0" borderId="0" xfId="214" applyFont="1" applyAlignment="1">
      <alignment horizontal="center"/>
    </xf>
    <xf numFmtId="164" fontId="16" fillId="0" borderId="0" xfId="272" applyNumberFormat="1" applyFont="1" applyFill="1" applyBorder="1" applyAlignment="1"/>
    <xf numFmtId="173" fontId="16" fillId="0" borderId="0" xfId="89" applyNumberFormat="1" applyFont="1" applyFill="1" applyBorder="1" applyAlignment="1">
      <alignment horizontal="left"/>
    </xf>
    <xf numFmtId="3" fontId="16" fillId="0" borderId="0" xfId="214" applyNumberFormat="1" applyAlignment="1">
      <alignment horizontal="right"/>
    </xf>
    <xf numFmtId="3" fontId="16" fillId="0" borderId="0" xfId="214" applyNumberFormat="1" applyAlignment="1">
      <alignment horizontal="center"/>
    </xf>
    <xf numFmtId="0" fontId="0" fillId="0" borderId="0" xfId="0" applyAlignment="1">
      <alignment horizontal="center" wrapText="1"/>
    </xf>
    <xf numFmtId="0" fontId="36" fillId="0" borderId="0" xfId="0" applyFont="1"/>
    <xf numFmtId="0" fontId="23" fillId="0" borderId="0" xfId="253" applyFont="1"/>
    <xf numFmtId="0" fontId="21" fillId="0" borderId="0" xfId="214" applyFont="1" applyAlignment="1">
      <alignment horizontal="left"/>
    </xf>
    <xf numFmtId="173" fontId="16" fillId="0" borderId="14" xfId="89" applyNumberFormat="1" applyFont="1" applyFill="1" applyBorder="1" applyAlignment="1">
      <alignment horizontal="right"/>
    </xf>
    <xf numFmtId="0" fontId="16" fillId="0" borderId="0" xfId="253" applyFont="1" applyAlignment="1">
      <alignment horizontal="center"/>
    </xf>
    <xf numFmtId="0" fontId="9" fillId="0" borderId="0" xfId="214" applyFont="1" applyAlignment="1">
      <alignment horizontal="center"/>
    </xf>
    <xf numFmtId="49" fontId="9" fillId="0" borderId="0" xfId="253" applyNumberFormat="1" applyFont="1" applyAlignment="1">
      <alignment horizontal="center"/>
    </xf>
    <xf numFmtId="0" fontId="0" fillId="0" borderId="0" xfId="0" applyAlignment="1">
      <alignment horizontal="right"/>
    </xf>
    <xf numFmtId="3" fontId="14" fillId="0" borderId="0" xfId="0" applyNumberFormat="1" applyFont="1" applyAlignment="1">
      <alignment horizontal="center"/>
    </xf>
    <xf numFmtId="173" fontId="6" fillId="0" borderId="0" xfId="86" applyNumberFormat="1"/>
    <xf numFmtId="0" fontId="16" fillId="0" borderId="0" xfId="0" applyFont="1" applyAlignment="1">
      <alignment horizontal="center"/>
    </xf>
    <xf numFmtId="173" fontId="16" fillId="0" borderId="0" xfId="86" applyNumberFormat="1" applyFont="1"/>
    <xf numFmtId="10" fontId="16" fillId="0" borderId="0" xfId="0" applyNumberFormat="1" applyFont="1"/>
    <xf numFmtId="173" fontId="6" fillId="0" borderId="0" xfId="86" applyNumberFormat="1" applyFill="1"/>
    <xf numFmtId="10" fontId="0" fillId="0" borderId="0" xfId="0" applyNumberFormat="1"/>
    <xf numFmtId="185" fontId="22" fillId="0" borderId="0" xfId="262" applyNumberFormat="1" applyFont="1"/>
    <xf numFmtId="0" fontId="75" fillId="0" borderId="0" xfId="262" applyFont="1"/>
    <xf numFmtId="185" fontId="22" fillId="0" borderId="0" xfId="262" applyNumberFormat="1" applyFont="1" applyAlignment="1">
      <alignment horizontal="center"/>
    </xf>
    <xf numFmtId="0" fontId="16" fillId="0" borderId="0" xfId="262" applyFont="1"/>
    <xf numFmtId="0" fontId="22" fillId="0" borderId="0" xfId="262" applyFont="1"/>
    <xf numFmtId="0" fontId="22" fillId="0" borderId="0" xfId="262" applyFont="1" applyAlignment="1">
      <alignment horizontal="center"/>
    </xf>
    <xf numFmtId="185" fontId="76" fillId="0" borderId="0" xfId="262" applyNumberFormat="1" applyFont="1"/>
    <xf numFmtId="0" fontId="77" fillId="0" borderId="0" xfId="262" applyFont="1"/>
    <xf numFmtId="173" fontId="75" fillId="0" borderId="0" xfId="262" applyNumberFormat="1" applyFont="1"/>
    <xf numFmtId="0" fontId="78" fillId="0" borderId="0" xfId="262" applyFont="1"/>
    <xf numFmtId="185" fontId="16" fillId="0" borderId="0" xfId="262" applyNumberFormat="1" applyFont="1"/>
    <xf numFmtId="0" fontId="79" fillId="0" borderId="0" xfId="259" applyFont="1" applyAlignment="1">
      <alignment horizontal="center"/>
    </xf>
    <xf numFmtId="0" fontId="79" fillId="0" borderId="0" xfId="259" applyFont="1" applyAlignment="1">
      <alignment horizontal="left" indent="2"/>
    </xf>
    <xf numFmtId="39" fontId="79" fillId="0" borderId="0" xfId="259" applyNumberFormat="1" applyFont="1"/>
    <xf numFmtId="0" fontId="16" fillId="0" borderId="0" xfId="262" applyFont="1" applyAlignment="1">
      <alignment horizontal="center"/>
    </xf>
    <xf numFmtId="185" fontId="9" fillId="0" borderId="0" xfId="262" applyNumberFormat="1" applyFont="1"/>
    <xf numFmtId="43" fontId="9" fillId="0" borderId="0" xfId="86" applyFont="1"/>
    <xf numFmtId="173" fontId="9" fillId="0" borderId="0" xfId="86" applyNumberFormat="1" applyFont="1"/>
    <xf numFmtId="173" fontId="75" fillId="0" borderId="14" xfId="86" applyNumberFormat="1" applyFont="1" applyBorder="1"/>
    <xf numFmtId="0" fontId="75" fillId="0" borderId="0" xfId="0" applyFont="1"/>
    <xf numFmtId="10" fontId="9" fillId="0" borderId="14" xfId="0" applyNumberFormat="1" applyFont="1" applyBorder="1"/>
    <xf numFmtId="173" fontId="0" fillId="0" borderId="0" xfId="86" applyNumberFormat="1" applyFont="1" applyFill="1"/>
    <xf numFmtId="173" fontId="0" fillId="0" borderId="0" xfId="0" applyNumberFormat="1"/>
    <xf numFmtId="173" fontId="16" fillId="0" borderId="0" xfId="86" applyNumberFormat="1" applyFont="1" applyFill="1"/>
    <xf numFmtId="0" fontId="13" fillId="0" borderId="0" xfId="253" applyFont="1" applyAlignment="1">
      <alignment horizontal="center" wrapText="1"/>
    </xf>
    <xf numFmtId="38" fontId="16" fillId="0" borderId="0" xfId="0" applyNumberFormat="1" applyFont="1" applyAlignment="1">
      <alignment horizontal="center"/>
    </xf>
    <xf numFmtId="0" fontId="6" fillId="0" borderId="0" xfId="253" applyAlignment="1">
      <alignment horizontal="left"/>
    </xf>
    <xf numFmtId="0" fontId="82" fillId="0" borderId="0" xfId="253" applyFont="1" applyAlignment="1">
      <alignment horizontal="left"/>
    </xf>
    <xf numFmtId="0" fontId="6" fillId="0" borderId="0" xfId="253"/>
    <xf numFmtId="0" fontId="82" fillId="0" borderId="0" xfId="253" applyFont="1"/>
    <xf numFmtId="0" fontId="73" fillId="0" borderId="0" xfId="253" applyFont="1" applyAlignment="1">
      <alignment horizontal="center"/>
    </xf>
    <xf numFmtId="38" fontId="16" fillId="0" borderId="15" xfId="0" applyNumberFormat="1" applyFont="1" applyBorder="1"/>
    <xf numFmtId="0" fontId="83" fillId="0" borderId="0" xfId="214" applyFont="1" applyAlignment="1">
      <alignment horizontal="left"/>
    </xf>
    <xf numFmtId="38" fontId="16" fillId="0" borderId="0" xfId="214" applyNumberFormat="1" applyAlignment="1">
      <alignment horizontal="right"/>
    </xf>
    <xf numFmtId="0" fontId="16" fillId="0" borderId="0" xfId="214" applyAlignment="1">
      <alignment horizontal="right"/>
    </xf>
    <xf numFmtId="38" fontId="16" fillId="0" borderId="0" xfId="0" applyNumberFormat="1" applyFont="1" applyAlignment="1">
      <alignment horizontal="right"/>
    </xf>
    <xf numFmtId="0" fontId="8" fillId="0" borderId="0" xfId="0" applyFont="1" applyAlignment="1">
      <alignment horizontal="center"/>
    </xf>
    <xf numFmtId="0" fontId="8" fillId="0" borderId="0" xfId="214" applyFont="1" applyAlignment="1">
      <alignment horizontal="center"/>
    </xf>
    <xf numFmtId="38" fontId="12" fillId="0" borderId="0" xfId="214" applyNumberFormat="1" applyFont="1"/>
    <xf numFmtId="173" fontId="12" fillId="0" borderId="14" xfId="86" applyNumberFormat="1" applyFont="1" applyFill="1" applyBorder="1" applyAlignment="1"/>
    <xf numFmtId="0" fontId="16" fillId="0" borderId="14" xfId="214" applyBorder="1" applyAlignment="1">
      <alignment horizontal="left"/>
    </xf>
    <xf numFmtId="173" fontId="75" fillId="0" borderId="0" xfId="86" applyNumberFormat="1" applyFont="1" applyFill="1"/>
    <xf numFmtId="3" fontId="8" fillId="0" borderId="0" xfId="0" applyNumberFormat="1" applyFont="1" applyAlignment="1">
      <alignment horizontal="center"/>
    </xf>
    <xf numFmtId="10" fontId="16" fillId="0" borderId="0" xfId="270" applyNumberFormat="1" applyFont="1" applyAlignment="1">
      <alignment horizontal="right"/>
    </xf>
    <xf numFmtId="0" fontId="13" fillId="0" borderId="0" xfId="0" applyFont="1" applyAlignment="1">
      <alignment horizontal="center" wrapText="1"/>
    </xf>
    <xf numFmtId="0" fontId="13" fillId="0" borderId="0" xfId="0" applyFont="1" applyAlignment="1">
      <alignment wrapText="1"/>
    </xf>
    <xf numFmtId="10" fontId="12" fillId="0" borderId="0" xfId="270" applyNumberFormat="1" applyFont="1"/>
    <xf numFmtId="174" fontId="6" fillId="0" borderId="0" xfId="118" applyNumberFormat="1"/>
    <xf numFmtId="0" fontId="8" fillId="0" borderId="0" xfId="0" applyFont="1" applyAlignment="1">
      <alignment horizontal="right"/>
    </xf>
    <xf numFmtId="0" fontId="16" fillId="0" borderId="0" xfId="0" applyFont="1" applyAlignment="1">
      <alignment horizontal="centerContinuous"/>
    </xf>
    <xf numFmtId="0" fontId="21" fillId="0" borderId="0" xfId="0" applyFont="1" applyAlignment="1">
      <alignment horizontal="center"/>
    </xf>
    <xf numFmtId="0" fontId="13" fillId="0" borderId="0" xfId="0" applyFont="1" applyAlignment="1">
      <alignment horizontal="center"/>
    </xf>
    <xf numFmtId="170" fontId="0" fillId="0" borderId="0" xfId="0" applyNumberFormat="1" applyAlignment="1">
      <alignment horizontal="right"/>
    </xf>
    <xf numFmtId="0" fontId="0" fillId="0" borderId="0" xfId="0" applyAlignment="1">
      <alignment horizontal="left"/>
    </xf>
    <xf numFmtId="6" fontId="0" fillId="0" borderId="0" xfId="0" applyNumberFormat="1" applyAlignment="1">
      <alignment horizontal="right"/>
    </xf>
    <xf numFmtId="6" fontId="0" fillId="0" borderId="0" xfId="0" applyNumberFormat="1"/>
    <xf numFmtId="0" fontId="21" fillId="0" borderId="0" xfId="0" applyFont="1" applyAlignment="1">
      <alignment horizontal="left"/>
    </xf>
    <xf numFmtId="0" fontId="8" fillId="0" borderId="0" xfId="0" applyFont="1" applyAlignment="1">
      <alignment horizontal="left"/>
    </xf>
    <xf numFmtId="0" fontId="21" fillId="0" borderId="0" xfId="0" applyFont="1" applyAlignment="1">
      <alignment horizontal="center" wrapText="1"/>
    </xf>
    <xf numFmtId="17" fontId="0" fillId="0" borderId="0" xfId="0" applyNumberFormat="1" applyAlignment="1">
      <alignment horizontal="center"/>
    </xf>
    <xf numFmtId="173" fontId="0" fillId="0" borderId="0" xfId="86" applyNumberFormat="1" applyFont="1"/>
    <xf numFmtId="173" fontId="16" fillId="0" borderId="0" xfId="214" applyNumberFormat="1"/>
    <xf numFmtId="0" fontId="16" fillId="25" borderId="0" xfId="214" applyFill="1" applyAlignment="1">
      <alignment horizontal="center"/>
    </xf>
    <xf numFmtId="0" fontId="13" fillId="25" borderId="0" xfId="214" applyFont="1" applyFill="1" applyAlignment="1">
      <alignment horizontal="left"/>
    </xf>
    <xf numFmtId="0" fontId="12" fillId="25" borderId="0" xfId="214" applyFont="1" applyFill="1"/>
    <xf numFmtId="0" fontId="16" fillId="25" borderId="0" xfId="214" applyFill="1" applyAlignment="1">
      <alignment horizontal="left"/>
    </xf>
    <xf numFmtId="0" fontId="16" fillId="25" borderId="0" xfId="214" applyFill="1"/>
    <xf numFmtId="173" fontId="16" fillId="25" borderId="0" xfId="89" applyNumberFormat="1" applyFont="1" applyFill="1" applyBorder="1" applyAlignment="1">
      <alignment horizontal="right"/>
    </xf>
    <xf numFmtId="0" fontId="0" fillId="25" borderId="0" xfId="0" applyFill="1"/>
    <xf numFmtId="164" fontId="16" fillId="25" borderId="0" xfId="272" applyNumberFormat="1" applyFont="1" applyFill="1" applyBorder="1" applyAlignment="1"/>
    <xf numFmtId="173" fontId="16" fillId="25" borderId="0" xfId="89" applyNumberFormat="1" applyFont="1" applyFill="1" applyBorder="1" applyAlignment="1">
      <alignment horizontal="left"/>
    </xf>
    <xf numFmtId="0" fontId="17" fillId="0" borderId="0" xfId="0" applyFont="1"/>
    <xf numFmtId="0" fontId="21" fillId="0" borderId="0" xfId="214" applyFont="1" applyAlignment="1">
      <alignment horizontal="center"/>
    </xf>
    <xf numFmtId="0" fontId="17" fillId="0" borderId="0" xfId="214" applyFont="1" applyAlignment="1">
      <alignment horizontal="left"/>
    </xf>
    <xf numFmtId="173" fontId="17" fillId="0" borderId="0" xfId="89" applyNumberFormat="1" applyFont="1" applyFill="1" applyBorder="1" applyAlignment="1">
      <alignment horizontal="right"/>
    </xf>
    <xf numFmtId="0" fontId="18" fillId="0" borderId="0" xfId="253" applyFont="1"/>
    <xf numFmtId="0" fontId="85" fillId="0" borderId="0" xfId="253" applyFont="1"/>
    <xf numFmtId="9" fontId="14" fillId="0" borderId="0" xfId="253" quotePrefix="1" applyNumberFormat="1" applyFont="1" applyAlignment="1">
      <alignment horizontal="center"/>
    </xf>
    <xf numFmtId="0" fontId="8" fillId="0" borderId="0" xfId="262" applyFont="1" applyAlignment="1">
      <alignment horizontal="center"/>
    </xf>
    <xf numFmtId="0" fontId="8" fillId="0" borderId="0" xfId="262" applyFont="1"/>
    <xf numFmtId="185" fontId="8" fillId="0" borderId="0" xfId="262" applyNumberFormat="1" applyFont="1" applyAlignment="1">
      <alignment horizontal="center"/>
    </xf>
    <xf numFmtId="0" fontId="13" fillId="0" borderId="0" xfId="262" applyFont="1"/>
    <xf numFmtId="0" fontId="8" fillId="0" borderId="11" xfId="262" applyFont="1" applyBorder="1" applyAlignment="1">
      <alignment horizontal="center"/>
    </xf>
    <xf numFmtId="185" fontId="8" fillId="0" borderId="11" xfId="262" applyNumberFormat="1" applyFont="1" applyBorder="1" applyAlignment="1">
      <alignment horizontal="center"/>
    </xf>
    <xf numFmtId="0" fontId="78" fillId="0" borderId="11" xfId="262" applyFont="1" applyBorder="1" applyAlignment="1">
      <alignment horizontal="center"/>
    </xf>
    <xf numFmtId="0" fontId="13" fillId="0" borderId="0" xfId="262" applyFont="1" applyAlignment="1">
      <alignment horizontal="center"/>
    </xf>
    <xf numFmtId="6" fontId="16" fillId="0" borderId="0" xfId="0" applyNumberFormat="1" applyFont="1" applyAlignment="1">
      <alignment horizontal="right"/>
    </xf>
    <xf numFmtId="174" fontId="0" fillId="0" borderId="0" xfId="118" applyNumberFormat="1" applyFont="1" applyAlignment="1">
      <alignment horizontal="center"/>
    </xf>
    <xf numFmtId="0" fontId="13" fillId="0" borderId="0" xfId="0" applyFont="1" applyAlignment="1">
      <alignment horizontal="left"/>
    </xf>
    <xf numFmtId="6" fontId="13" fillId="0" borderId="0" xfId="0" applyNumberFormat="1" applyFont="1" applyAlignment="1">
      <alignment horizontal="right"/>
    </xf>
    <xf numFmtId="173" fontId="87" fillId="0" borderId="0" xfId="86" applyNumberFormat="1" applyFont="1" applyFill="1"/>
    <xf numFmtId="0" fontId="91" fillId="0" borderId="0" xfId="0" applyFont="1" applyAlignment="1">
      <alignment horizontal="center"/>
    </xf>
    <xf numFmtId="0" fontId="90" fillId="0" borderId="0" xfId="253" applyFont="1" applyAlignment="1">
      <alignment horizontal="center"/>
    </xf>
    <xf numFmtId="173" fontId="16" fillId="0" borderId="0" xfId="262" applyNumberFormat="1" applyFont="1"/>
    <xf numFmtId="0" fontId="9" fillId="0" borderId="0" xfId="262" applyFont="1"/>
    <xf numFmtId="173" fontId="9" fillId="0" borderId="0" xfId="262" applyNumberFormat="1" applyFont="1"/>
    <xf numFmtId="164" fontId="0" fillId="0" borderId="0" xfId="270" applyNumberFormat="1" applyFont="1"/>
    <xf numFmtId="173" fontId="94" fillId="0" borderId="0" xfId="262" applyNumberFormat="1" applyFont="1"/>
    <xf numFmtId="0" fontId="27" fillId="0" borderId="0" xfId="253" applyFont="1" applyAlignment="1">
      <alignment horizontal="center"/>
    </xf>
    <xf numFmtId="37" fontId="16" fillId="0" borderId="15" xfId="0" applyNumberFormat="1" applyFont="1" applyBorder="1"/>
    <xf numFmtId="37" fontId="16" fillId="0" borderId="0" xfId="214" applyNumberFormat="1" applyAlignment="1">
      <alignment horizontal="right"/>
    </xf>
    <xf numFmtId="37" fontId="12" fillId="0" borderId="0" xfId="214" applyNumberFormat="1" applyFont="1"/>
    <xf numFmtId="0" fontId="97" fillId="0" borderId="0" xfId="253" applyFont="1"/>
    <xf numFmtId="0" fontId="16" fillId="0" borderId="0" xfId="0" applyFont="1" applyAlignment="1">
      <alignment horizontal="center" wrapText="1"/>
    </xf>
    <xf numFmtId="0" fontId="36" fillId="0" borderId="0" xfId="0" applyFont="1" applyAlignment="1">
      <alignment wrapText="1"/>
    </xf>
    <xf numFmtId="0" fontId="36" fillId="0" borderId="0" xfId="0" applyFont="1" applyAlignment="1">
      <alignment horizontal="center" wrapText="1"/>
    </xf>
    <xf numFmtId="173" fontId="0" fillId="0" borderId="14" xfId="0" applyNumberFormat="1" applyBorder="1"/>
    <xf numFmtId="9" fontId="0" fillId="0" borderId="0" xfId="270" applyFont="1"/>
    <xf numFmtId="0" fontId="99" fillId="0" borderId="0" xfId="0" applyFont="1" applyAlignment="1">
      <alignment horizontal="center" wrapText="1"/>
    </xf>
    <xf numFmtId="0" fontId="22" fillId="0" borderId="0" xfId="259" applyFont="1" applyAlignment="1">
      <alignment horizontal="center"/>
    </xf>
    <xf numFmtId="0" fontId="36" fillId="0" borderId="0" xfId="253" applyFont="1" applyAlignment="1">
      <alignment horizontal="left"/>
    </xf>
    <xf numFmtId="0" fontId="36" fillId="0" borderId="0" xfId="253" applyFont="1"/>
    <xf numFmtId="0" fontId="101" fillId="0" borderId="0" xfId="253" applyFont="1" applyAlignment="1">
      <alignment horizontal="center"/>
    </xf>
    <xf numFmtId="0" fontId="102" fillId="0" borderId="0" xfId="253" applyFont="1"/>
    <xf numFmtId="189" fontId="103" fillId="0" borderId="0" xfId="214" applyNumberFormat="1" applyFont="1" applyAlignment="1">
      <alignment horizontal="center"/>
    </xf>
    <xf numFmtId="38" fontId="0" fillId="0" borderId="0" xfId="0" applyNumberFormat="1"/>
    <xf numFmtId="0" fontId="6" fillId="0" borderId="0" xfId="0" applyFont="1"/>
    <xf numFmtId="3" fontId="17" fillId="0" borderId="0" xfId="214" applyNumberFormat="1" applyFont="1" applyAlignment="1">
      <alignment horizontal="center"/>
    </xf>
    <xf numFmtId="43" fontId="9" fillId="0" borderId="0" xfId="86" applyFont="1" applyAlignment="1">
      <alignment horizontal="center"/>
    </xf>
    <xf numFmtId="43" fontId="9" fillId="0" borderId="0" xfId="86" applyFont="1" applyBorder="1" applyAlignment="1">
      <alignment horizontal="center"/>
    </xf>
    <xf numFmtId="43" fontId="8" fillId="0" borderId="0" xfId="86" applyFont="1" applyBorder="1" applyAlignment="1">
      <alignment horizontal="center"/>
    </xf>
    <xf numFmtId="43" fontId="8" fillId="0" borderId="0" xfId="86" applyFont="1" applyAlignment="1">
      <alignment horizontal="center"/>
    </xf>
    <xf numFmtId="43" fontId="19" fillId="0" borderId="0" xfId="86" applyFont="1"/>
    <xf numFmtId="0" fontId="8" fillId="0" borderId="11" xfId="262" applyFont="1" applyBorder="1"/>
    <xf numFmtId="0" fontId="75" fillId="0" borderId="0" xfId="262" applyFont="1" applyAlignment="1">
      <alignment horizontal="center"/>
    </xf>
    <xf numFmtId="173" fontId="81" fillId="0" borderId="0" xfId="262" applyNumberFormat="1" applyFont="1"/>
    <xf numFmtId="3" fontId="81" fillId="0" borderId="0" xfId="262" applyNumberFormat="1" applyFont="1"/>
    <xf numFmtId="0" fontId="26" fillId="0" borderId="0" xfId="253" applyFont="1"/>
    <xf numFmtId="38" fontId="30" fillId="0" borderId="13" xfId="253" applyNumberFormat="1" applyFont="1" applyBorder="1" applyAlignment="1">
      <alignment horizontal="right"/>
    </xf>
    <xf numFmtId="0" fontId="36" fillId="0" borderId="0" xfId="253" applyFont="1" applyAlignment="1">
      <alignment horizontal="center"/>
    </xf>
    <xf numFmtId="0" fontId="79" fillId="0" borderId="0" xfId="262" applyFont="1"/>
    <xf numFmtId="10" fontId="7" fillId="0" borderId="0" xfId="263" applyNumberFormat="1"/>
    <xf numFmtId="10" fontId="7" fillId="0" borderId="16" xfId="263" applyNumberFormat="1" applyBorder="1"/>
    <xf numFmtId="193" fontId="7" fillId="0" borderId="16" xfId="263" applyNumberFormat="1" applyBorder="1"/>
    <xf numFmtId="176" fontId="7" fillId="0" borderId="16" xfId="263" applyNumberFormat="1" applyBorder="1"/>
    <xf numFmtId="192" fontId="7" fillId="0" borderId="16" xfId="263" applyNumberFormat="1" applyBorder="1"/>
    <xf numFmtId="195" fontId="7" fillId="0" borderId="0" xfId="263" applyNumberFormat="1"/>
    <xf numFmtId="176" fontId="7" fillId="0" borderId="0" xfId="263" applyNumberFormat="1"/>
    <xf numFmtId="192" fontId="7" fillId="0" borderId="0" xfId="263" applyNumberFormat="1"/>
    <xf numFmtId="10" fontId="116" fillId="0" borderId="0" xfId="263" applyNumberFormat="1" applyFont="1"/>
    <xf numFmtId="173" fontId="119" fillId="0" borderId="0" xfId="0" applyNumberFormat="1" applyFont="1"/>
    <xf numFmtId="0" fontId="106" fillId="0" borderId="0" xfId="214" applyFont="1" applyAlignment="1">
      <alignment horizontal="center"/>
    </xf>
    <xf numFmtId="0" fontId="99" fillId="0" borderId="0" xfId="214" applyFont="1" applyAlignment="1">
      <alignment horizontal="left"/>
    </xf>
    <xf numFmtId="0" fontId="36" fillId="0" borderId="0" xfId="214" applyFont="1" applyAlignment="1">
      <alignment horizontal="center"/>
    </xf>
    <xf numFmtId="0" fontId="36" fillId="0" borderId="0" xfId="214" applyFont="1" applyAlignment="1">
      <alignment horizontal="left"/>
    </xf>
    <xf numFmtId="0" fontId="36" fillId="0" borderId="0" xfId="214" applyFont="1"/>
    <xf numFmtId="3" fontId="36" fillId="0" borderId="0" xfId="214" applyNumberFormat="1" applyFont="1"/>
    <xf numFmtId="0" fontId="106" fillId="0" borderId="0" xfId="214" applyFont="1"/>
    <xf numFmtId="0" fontId="118" fillId="0" borderId="0" xfId="253" applyFont="1" applyAlignment="1">
      <alignment horizontal="center"/>
    </xf>
    <xf numFmtId="0" fontId="99" fillId="0" borderId="0" xfId="0" applyFont="1" applyAlignment="1">
      <alignment horizontal="center"/>
    </xf>
    <xf numFmtId="41" fontId="0" fillId="0" borderId="0" xfId="0" applyNumberFormat="1"/>
    <xf numFmtId="37" fontId="120" fillId="0" borderId="13" xfId="0" applyNumberFormat="1" applyFont="1" applyBorder="1"/>
    <xf numFmtId="0" fontId="30" fillId="0" borderId="0" xfId="0" applyFont="1" applyAlignment="1">
      <alignment horizontal="left"/>
    </xf>
    <xf numFmtId="41" fontId="30" fillId="0" borderId="11" xfId="253" applyNumberFormat="1" applyFont="1" applyBorder="1"/>
    <xf numFmtId="3" fontId="23" fillId="31" borderId="0" xfId="0" applyNumberFormat="1" applyFont="1" applyFill="1"/>
    <xf numFmtId="173" fontId="81" fillId="31" borderId="0" xfId="262" applyNumberFormat="1" applyFont="1" applyFill="1"/>
    <xf numFmtId="0" fontId="75" fillId="31" borderId="0" xfId="262" applyFont="1" applyFill="1" applyAlignment="1">
      <alignment horizontal="center"/>
    </xf>
    <xf numFmtId="174" fontId="0" fillId="0" borderId="0" xfId="118" applyNumberFormat="1" applyFont="1"/>
    <xf numFmtId="3" fontId="36" fillId="31" borderId="0" xfId="214" applyNumberFormat="1" applyFont="1" applyFill="1"/>
    <xf numFmtId="0" fontId="9" fillId="31" borderId="0" xfId="0" applyFont="1" applyFill="1"/>
    <xf numFmtId="174" fontId="0" fillId="0" borderId="0" xfId="0" applyNumberFormat="1"/>
    <xf numFmtId="0" fontId="75" fillId="31" borderId="0" xfId="262" applyFont="1" applyFill="1"/>
    <xf numFmtId="172" fontId="7" fillId="0" borderId="0" xfId="261" applyProtection="1"/>
    <xf numFmtId="172" fontId="9" fillId="0" borderId="0" xfId="261" applyFont="1" applyProtection="1"/>
    <xf numFmtId="0" fontId="10" fillId="0" borderId="0" xfId="261" applyNumberFormat="1" applyFont="1" applyAlignment="1" applyProtection="1">
      <alignment horizontal="left"/>
    </xf>
    <xf numFmtId="14" fontId="10" fillId="0" borderId="0" xfId="261" applyNumberFormat="1" applyFont="1" applyProtection="1"/>
    <xf numFmtId="172" fontId="10" fillId="0" borderId="0" xfId="261" applyFont="1" applyProtection="1"/>
    <xf numFmtId="0" fontId="9" fillId="0" borderId="0" xfId="261" applyNumberFormat="1" applyFont="1" applyProtection="1"/>
    <xf numFmtId="0" fontId="9" fillId="0" borderId="0" xfId="261" applyNumberFormat="1" applyFont="1" applyAlignment="1" applyProtection="1">
      <alignment horizontal="right"/>
    </xf>
    <xf numFmtId="0" fontId="23" fillId="0" borderId="0" xfId="86" applyNumberFormat="1" applyFont="1" applyFill="1" applyAlignment="1" applyProtection="1"/>
    <xf numFmtId="3" fontId="9" fillId="0" borderId="0" xfId="261" applyNumberFormat="1" applyFont="1" applyProtection="1"/>
    <xf numFmtId="0" fontId="7" fillId="0" borderId="0" xfId="261" applyNumberFormat="1" applyAlignment="1" applyProtection="1">
      <alignment horizontal="center"/>
    </xf>
    <xf numFmtId="0" fontId="9" fillId="0" borderId="0" xfId="261" applyNumberFormat="1" applyFont="1" applyAlignment="1" applyProtection="1">
      <alignment horizontal="center"/>
    </xf>
    <xf numFmtId="49" fontId="9" fillId="0" borderId="0" xfId="261" applyNumberFormat="1" applyFont="1" applyAlignment="1" applyProtection="1">
      <alignment horizontal="center"/>
    </xf>
    <xf numFmtId="3" fontId="25" fillId="0" borderId="0" xfId="0" applyNumberFormat="1" applyFont="1" applyAlignment="1">
      <alignment horizontal="center"/>
    </xf>
    <xf numFmtId="49" fontId="9" fillId="0" borderId="0" xfId="261" applyNumberFormat="1" applyFont="1" applyProtection="1"/>
    <xf numFmtId="39" fontId="9" fillId="0" borderId="0" xfId="86" applyNumberFormat="1" applyFont="1" applyAlignment="1" applyProtection="1">
      <alignment horizontal="center"/>
    </xf>
    <xf numFmtId="0" fontId="7" fillId="0" borderId="6" xfId="261" applyNumberFormat="1" applyBorder="1" applyAlignment="1" applyProtection="1">
      <alignment horizontal="center"/>
    </xf>
    <xf numFmtId="0" fontId="9" fillId="0" borderId="6" xfId="261" applyNumberFormat="1" applyFont="1" applyBorder="1" applyAlignment="1" applyProtection="1">
      <alignment horizontal="center"/>
    </xf>
    <xf numFmtId="0" fontId="9" fillId="0" borderId="0" xfId="261" applyNumberFormat="1" applyFont="1" applyAlignment="1" applyProtection="1">
      <alignment horizontal="left"/>
    </xf>
    <xf numFmtId="170" fontId="9" fillId="0" borderId="0" xfId="261" applyNumberFormat="1" applyFont="1" applyProtection="1"/>
    <xf numFmtId="3" fontId="9" fillId="0" borderId="0" xfId="261" applyNumberFormat="1" applyFont="1" applyAlignment="1" applyProtection="1">
      <alignment horizontal="left"/>
    </xf>
    <xf numFmtId="0" fontId="9" fillId="0" borderId="6" xfId="261" applyNumberFormat="1" applyFont="1" applyBorder="1" applyAlignment="1" applyProtection="1">
      <alignment horizontal="centerContinuous"/>
    </xf>
    <xf numFmtId="41" fontId="9" fillId="0" borderId="0" xfId="261" applyNumberFormat="1" applyFont="1" applyProtection="1"/>
    <xf numFmtId="3" fontId="9" fillId="0" borderId="0" xfId="261" applyNumberFormat="1" applyFont="1" applyAlignment="1" applyProtection="1">
      <alignment horizontal="center"/>
    </xf>
    <xf numFmtId="165" fontId="9" fillId="0" borderId="0" xfId="261" applyNumberFormat="1" applyFont="1" applyAlignment="1" applyProtection="1">
      <alignment horizontal="right"/>
    </xf>
    <xf numFmtId="42" fontId="9" fillId="0" borderId="0" xfId="261" applyNumberFormat="1" applyFont="1" applyProtection="1"/>
    <xf numFmtId="172" fontId="9" fillId="0" borderId="11" xfId="261" applyFont="1" applyBorder="1" applyProtection="1"/>
    <xf numFmtId="0" fontId="9" fillId="0" borderId="0" xfId="0" applyFont="1" applyAlignment="1">
      <alignment wrapText="1"/>
    </xf>
    <xf numFmtId="174" fontId="9" fillId="0" borderId="14" xfId="261" applyNumberFormat="1" applyFont="1" applyBorder="1" applyProtection="1"/>
    <xf numFmtId="172" fontId="80" fillId="0" borderId="0" xfId="261" applyFont="1" applyAlignment="1" applyProtection="1">
      <alignment horizontal="center" wrapText="1"/>
    </xf>
    <xf numFmtId="43" fontId="9" fillId="0" borderId="0" xfId="86" applyFont="1" applyProtection="1"/>
    <xf numFmtId="171" fontId="9" fillId="0" borderId="0" xfId="261" applyNumberFormat="1" applyFont="1" applyProtection="1"/>
    <xf numFmtId="10" fontId="9" fillId="0" borderId="0" xfId="261" applyNumberFormat="1" applyFont="1" applyProtection="1"/>
    <xf numFmtId="10" fontId="9" fillId="0" borderId="0" xfId="270" applyNumberFormat="1" applyFont="1" applyAlignment="1" applyProtection="1"/>
    <xf numFmtId="186" fontId="9" fillId="0" borderId="0" xfId="261" applyNumberFormat="1" applyFont="1" applyProtection="1"/>
    <xf numFmtId="43" fontId="9" fillId="0" borderId="0" xfId="86" applyFont="1" applyAlignment="1" applyProtection="1"/>
    <xf numFmtId="41" fontId="9" fillId="0" borderId="0" xfId="261" applyNumberFormat="1" applyFont="1" applyAlignment="1" applyProtection="1">
      <alignment horizontal="center"/>
    </xf>
    <xf numFmtId="41" fontId="9" fillId="0" borderId="14" xfId="261" applyNumberFormat="1" applyFont="1" applyBorder="1" applyAlignment="1" applyProtection="1">
      <alignment horizontal="center"/>
    </xf>
    <xf numFmtId="41" fontId="9" fillId="0" borderId="0" xfId="261" applyNumberFormat="1" applyFont="1" applyAlignment="1" applyProtection="1">
      <alignment horizontal="right"/>
    </xf>
    <xf numFmtId="42" fontId="9" fillId="0" borderId="0" xfId="270" applyNumberFormat="1" applyFont="1" applyAlignment="1" applyProtection="1"/>
    <xf numFmtId="43" fontId="9" fillId="0" borderId="0" xfId="261" applyNumberFormat="1" applyFont="1" applyAlignment="1" applyProtection="1">
      <alignment horizontal="right"/>
    </xf>
    <xf numFmtId="172" fontId="9" fillId="0" borderId="0" xfId="261" applyFont="1" applyAlignment="1" applyProtection="1">
      <alignment horizontal="right"/>
    </xf>
    <xf numFmtId="0" fontId="36" fillId="0" borderId="0" xfId="0" applyFont="1" applyAlignment="1">
      <alignment horizontal="center"/>
    </xf>
    <xf numFmtId="49" fontId="9" fillId="0" borderId="0" xfId="261" applyNumberFormat="1" applyFont="1" applyAlignment="1" applyProtection="1">
      <alignment horizontal="left"/>
    </xf>
    <xf numFmtId="0" fontId="7" fillId="0" borderId="0" xfId="261" applyNumberFormat="1" applyAlignment="1" applyProtection="1">
      <alignment horizontal="center" vertical="center"/>
    </xf>
    <xf numFmtId="3" fontId="10" fillId="0" borderId="0" xfId="261" applyNumberFormat="1" applyFont="1" applyAlignment="1" applyProtection="1">
      <alignment horizontal="center"/>
    </xf>
    <xf numFmtId="172" fontId="10" fillId="0" borderId="0" xfId="261" applyFont="1" applyAlignment="1" applyProtection="1">
      <alignment horizontal="center"/>
    </xf>
    <xf numFmtId="49" fontId="10" fillId="0" borderId="0" xfId="261" applyNumberFormat="1" applyFont="1" applyAlignment="1" applyProtection="1">
      <alignment horizontal="center"/>
    </xf>
    <xf numFmtId="0" fontId="14" fillId="0" borderId="0" xfId="261" applyNumberFormat="1" applyFont="1" applyAlignment="1" applyProtection="1">
      <alignment horizontal="center"/>
    </xf>
    <xf numFmtId="172" fontId="14" fillId="0" borderId="0" xfId="261" applyFont="1" applyAlignment="1" applyProtection="1">
      <alignment horizontal="center"/>
    </xf>
    <xf numFmtId="3" fontId="10" fillId="0" borderId="0" xfId="261" applyNumberFormat="1" applyFont="1" applyProtection="1"/>
    <xf numFmtId="173" fontId="9" fillId="0" borderId="0" xfId="86" applyNumberFormat="1" applyFont="1" applyFill="1" applyAlignment="1" applyProtection="1"/>
    <xf numFmtId="0" fontId="9" fillId="0" borderId="0" xfId="261" applyNumberFormat="1" applyFont="1" applyAlignment="1" applyProtection="1">
      <alignment vertical="center"/>
    </xf>
    <xf numFmtId="3" fontId="9" fillId="0" borderId="0" xfId="261" applyNumberFormat="1" applyFont="1" applyAlignment="1" applyProtection="1">
      <alignment vertical="center" wrapText="1"/>
    </xf>
    <xf numFmtId="3" fontId="9" fillId="0" borderId="0" xfId="261" applyNumberFormat="1" applyFont="1" applyAlignment="1" applyProtection="1">
      <alignment horizontal="center" vertical="center"/>
    </xf>
    <xf numFmtId="3" fontId="9" fillId="0" borderId="0" xfId="261" applyNumberFormat="1" applyFont="1" applyAlignment="1" applyProtection="1">
      <alignment vertical="center"/>
    </xf>
    <xf numFmtId="41" fontId="9" fillId="0" borderId="0" xfId="261" applyNumberFormat="1" applyFont="1" applyAlignment="1" applyProtection="1">
      <alignment vertical="center"/>
    </xf>
    <xf numFmtId="41" fontId="9" fillId="0" borderId="6" xfId="261" applyNumberFormat="1" applyFont="1" applyBorder="1" applyProtection="1"/>
    <xf numFmtId="178" fontId="10" fillId="0" borderId="0" xfId="261" applyNumberFormat="1" applyFont="1" applyAlignment="1" applyProtection="1">
      <alignment horizontal="right"/>
    </xf>
    <xf numFmtId="182" fontId="10" fillId="0" borderId="0" xfId="86" applyNumberFormat="1" applyFont="1" applyFill="1" applyAlignment="1" applyProtection="1"/>
    <xf numFmtId="178" fontId="9" fillId="0" borderId="0" xfId="261" applyNumberFormat="1" applyFont="1" applyProtection="1"/>
    <xf numFmtId="184" fontId="9" fillId="0" borderId="0" xfId="261" applyNumberFormat="1" applyFont="1" applyProtection="1"/>
    <xf numFmtId="183" fontId="9" fillId="0" borderId="0" xfId="261" applyNumberFormat="1" applyFont="1" applyProtection="1"/>
    <xf numFmtId="165" fontId="9" fillId="0" borderId="0" xfId="261" applyNumberFormat="1" applyFont="1" applyProtection="1"/>
    <xf numFmtId="0" fontId="9" fillId="0" borderId="0" xfId="261" applyNumberFormat="1" applyFont="1" applyAlignment="1" applyProtection="1">
      <alignment horizontal="center" vertical="center"/>
    </xf>
    <xf numFmtId="164" fontId="9" fillId="0" borderId="0" xfId="261" applyNumberFormat="1" applyFont="1" applyAlignment="1" applyProtection="1">
      <alignment horizontal="center"/>
    </xf>
    <xf numFmtId="177" fontId="9" fillId="0" borderId="0" xfId="86" applyNumberFormat="1" applyFont="1" applyFill="1" applyAlignment="1" applyProtection="1">
      <alignment horizontal="center"/>
    </xf>
    <xf numFmtId="3" fontId="10" fillId="0" borderId="0" xfId="261" applyNumberFormat="1" applyFont="1" applyAlignment="1" applyProtection="1">
      <alignment horizontal="right"/>
    </xf>
    <xf numFmtId="182" fontId="9" fillId="0" borderId="0" xfId="86" applyNumberFormat="1" applyFont="1" applyFill="1" applyAlignment="1" applyProtection="1"/>
    <xf numFmtId="164" fontId="9" fillId="0" borderId="0" xfId="261" applyNumberFormat="1" applyFont="1" applyAlignment="1" applyProtection="1">
      <alignment horizontal="left"/>
    </xf>
    <xf numFmtId="10" fontId="9" fillId="0" borderId="0" xfId="270" applyNumberFormat="1" applyFont="1" applyFill="1" applyAlignment="1" applyProtection="1"/>
    <xf numFmtId="175" fontId="9" fillId="0" borderId="0" xfId="261" applyNumberFormat="1" applyFont="1" applyProtection="1"/>
    <xf numFmtId="41" fontId="9" fillId="0" borderId="0" xfId="261" applyNumberFormat="1" applyFont="1" applyAlignment="1" applyProtection="1">
      <alignment horizontal="center" vertical="center"/>
    </xf>
    <xf numFmtId="0" fontId="89" fillId="0" borderId="0" xfId="261" applyNumberFormat="1" applyFont="1" applyAlignment="1" applyProtection="1">
      <alignment horizontal="center"/>
    </xf>
    <xf numFmtId="3" fontId="9" fillId="0" borderId="0" xfId="261" applyNumberFormat="1" applyFont="1" applyAlignment="1" applyProtection="1">
      <alignment horizontal="right"/>
    </xf>
    <xf numFmtId="172" fontId="9" fillId="0" borderId="0" xfId="261" applyFont="1" applyAlignment="1" applyProtection="1">
      <alignment horizontal="center"/>
    </xf>
    <xf numFmtId="0" fontId="10" fillId="0" borderId="0" xfId="261" applyNumberFormat="1" applyFont="1" applyAlignment="1" applyProtection="1">
      <alignment horizontal="center"/>
    </xf>
    <xf numFmtId="3" fontId="14" fillId="0" borderId="0" xfId="261" applyNumberFormat="1" applyFont="1" applyAlignment="1" applyProtection="1">
      <alignment horizontal="center"/>
    </xf>
    <xf numFmtId="3" fontId="14" fillId="0" borderId="0" xfId="261" applyNumberFormat="1" applyFont="1" applyProtection="1"/>
    <xf numFmtId="43" fontId="16" fillId="0" borderId="0" xfId="86" applyFont="1" applyAlignment="1" applyProtection="1"/>
    <xf numFmtId="3" fontId="98" fillId="0" borderId="0" xfId="261" applyNumberFormat="1" applyFont="1" applyAlignment="1" applyProtection="1">
      <alignment horizontal="right"/>
    </xf>
    <xf numFmtId="41" fontId="98" fillId="0" borderId="0" xfId="261" applyNumberFormat="1" applyFont="1" applyAlignment="1" applyProtection="1">
      <alignment horizontal="right"/>
    </xf>
    <xf numFmtId="43" fontId="9" fillId="0" borderId="0" xfId="270" applyNumberFormat="1" applyFont="1" applyFill="1" applyAlignment="1" applyProtection="1"/>
    <xf numFmtId="166" fontId="9" fillId="0" borderId="0" xfId="261" applyNumberFormat="1" applyFont="1" applyProtection="1"/>
    <xf numFmtId="167" fontId="9" fillId="0" borderId="0" xfId="261" applyNumberFormat="1" applyFont="1" applyProtection="1"/>
    <xf numFmtId="172" fontId="27" fillId="0" borderId="0" xfId="261" applyFont="1" applyProtection="1"/>
    <xf numFmtId="168" fontId="9" fillId="0" borderId="0" xfId="261" applyNumberFormat="1" applyFont="1" applyProtection="1"/>
    <xf numFmtId="10" fontId="9" fillId="0" borderId="0" xfId="261" applyNumberFormat="1" applyFont="1" applyAlignment="1" applyProtection="1">
      <alignment horizontal="right"/>
    </xf>
    <xf numFmtId="10" fontId="36" fillId="0" borderId="0" xfId="270" applyNumberFormat="1" applyFont="1" applyProtection="1"/>
    <xf numFmtId="3" fontId="27" fillId="0" borderId="0" xfId="261" applyNumberFormat="1" applyFont="1" applyProtection="1"/>
    <xf numFmtId="166" fontId="9" fillId="0" borderId="0" xfId="261" applyNumberFormat="1" applyFont="1" applyAlignment="1" applyProtection="1">
      <alignment horizontal="center"/>
    </xf>
    <xf numFmtId="187" fontId="27" fillId="0" borderId="0" xfId="261" applyNumberFormat="1" applyFont="1" applyAlignment="1" applyProtection="1">
      <alignment horizontal="center"/>
    </xf>
    <xf numFmtId="188" fontId="9" fillId="0" borderId="0" xfId="261" applyNumberFormat="1" applyFont="1" applyProtection="1"/>
    <xf numFmtId="179" fontId="9" fillId="0" borderId="0" xfId="261" applyNumberFormat="1" applyFont="1" applyAlignment="1" applyProtection="1">
      <alignment horizontal="right"/>
    </xf>
    <xf numFmtId="186" fontId="9" fillId="0" borderId="0" xfId="86" applyNumberFormat="1" applyFont="1" applyAlignment="1" applyProtection="1">
      <alignment horizontal="center"/>
    </xf>
    <xf numFmtId="41" fontId="27" fillId="0" borderId="0" xfId="261" applyNumberFormat="1" applyFont="1" applyProtection="1"/>
    <xf numFmtId="43" fontId="27" fillId="0" borderId="0" xfId="86" applyFont="1" applyAlignment="1" applyProtection="1"/>
    <xf numFmtId="179" fontId="9" fillId="0" borderId="0" xfId="261" applyNumberFormat="1" applyFont="1" applyAlignment="1" applyProtection="1">
      <alignment horizontal="center"/>
    </xf>
    <xf numFmtId="10" fontId="9" fillId="0" borderId="0" xfId="261" applyNumberFormat="1" applyFont="1" applyAlignment="1" applyProtection="1">
      <alignment horizontal="left"/>
    </xf>
    <xf numFmtId="187" fontId="9" fillId="0" borderId="0" xfId="261" applyNumberFormat="1" applyFont="1" applyAlignment="1" applyProtection="1">
      <alignment horizontal="center"/>
    </xf>
    <xf numFmtId="168" fontId="9" fillId="0" borderId="0" xfId="261" applyNumberFormat="1" applyFont="1" applyAlignment="1" applyProtection="1">
      <alignment horizontal="left"/>
    </xf>
    <xf numFmtId="41" fontId="9" fillId="0" borderId="11" xfId="261" applyNumberFormat="1" applyFont="1" applyBorder="1" applyProtection="1"/>
    <xf numFmtId="179" fontId="9" fillId="0" borderId="0" xfId="261" applyNumberFormat="1" applyFont="1" applyProtection="1"/>
    <xf numFmtId="164" fontId="9" fillId="0" borderId="0" xfId="261" applyNumberFormat="1" applyFont="1" applyAlignment="1" applyProtection="1">
      <alignment horizontal="left" vertical="center"/>
    </xf>
    <xf numFmtId="180" fontId="9" fillId="0" borderId="0" xfId="261" applyNumberFormat="1" applyFont="1" applyProtection="1"/>
    <xf numFmtId="173" fontId="9" fillId="0" borderId="14" xfId="86" applyNumberFormat="1" applyFont="1" applyBorder="1" applyAlignment="1" applyProtection="1"/>
    <xf numFmtId="0" fontId="10" fillId="0" borderId="0" xfId="261" applyNumberFormat="1" applyFont="1" applyProtection="1"/>
    <xf numFmtId="0" fontId="9" fillId="0" borderId="0" xfId="0" applyFont="1" applyAlignment="1">
      <alignment horizontal="left"/>
    </xf>
    <xf numFmtId="173" fontId="9" fillId="0" borderId="6" xfId="86" applyNumberFormat="1" applyFont="1" applyBorder="1" applyAlignment="1" applyProtection="1"/>
    <xf numFmtId="165" fontId="10" fillId="0" borderId="0" xfId="261" applyNumberFormat="1" applyFont="1" applyAlignment="1" applyProtection="1">
      <alignment horizontal="right"/>
    </xf>
    <xf numFmtId="3" fontId="9" fillId="0" borderId="0" xfId="261" applyNumberFormat="1" applyFont="1" applyAlignment="1" applyProtection="1">
      <alignment horizontal="center" wrapText="1"/>
    </xf>
    <xf numFmtId="4" fontId="9" fillId="0" borderId="0" xfId="261" applyNumberFormat="1" applyFont="1" applyProtection="1"/>
    <xf numFmtId="173" fontId="9" fillId="0" borderId="6" xfId="86" applyNumberFormat="1" applyFont="1" applyFill="1" applyBorder="1" applyAlignment="1" applyProtection="1"/>
    <xf numFmtId="172" fontId="10" fillId="0" borderId="0" xfId="261" applyFont="1" applyAlignment="1" applyProtection="1">
      <alignment horizontal="right"/>
    </xf>
    <xf numFmtId="165" fontId="10" fillId="0" borderId="0" xfId="261" applyNumberFormat="1" applyFont="1" applyProtection="1"/>
    <xf numFmtId="166" fontId="10" fillId="0" borderId="0" xfId="261" applyNumberFormat="1" applyFont="1" applyProtection="1"/>
    <xf numFmtId="3" fontId="9" fillId="0" borderId="6" xfId="261" applyNumberFormat="1" applyFont="1" applyBorder="1" applyAlignment="1" applyProtection="1">
      <alignment horizontal="center"/>
    </xf>
    <xf numFmtId="0" fontId="18" fillId="0" borderId="0" xfId="261" applyNumberFormat="1" applyFont="1" applyAlignment="1" applyProtection="1">
      <alignment horizontal="left"/>
    </xf>
    <xf numFmtId="182" fontId="9" fillId="0" borderId="0" xfId="86" applyNumberFormat="1" applyFont="1" applyFill="1" applyAlignment="1" applyProtection="1">
      <alignment horizontal="center"/>
    </xf>
    <xf numFmtId="182" fontId="9" fillId="0" borderId="6" xfId="86" applyNumberFormat="1" applyFont="1" applyFill="1" applyBorder="1" applyAlignment="1" applyProtection="1">
      <alignment horizontal="center"/>
    </xf>
    <xf numFmtId="186" fontId="9" fillId="0" borderId="0" xfId="86" applyNumberFormat="1" applyFont="1" applyFill="1" applyAlignment="1" applyProtection="1"/>
    <xf numFmtId="169" fontId="9" fillId="0" borderId="15" xfId="261" applyNumberFormat="1" applyFont="1" applyBorder="1" applyProtection="1"/>
    <xf numFmtId="3" fontId="9" fillId="0" borderId="0" xfId="261" quotePrefix="1" applyNumberFormat="1" applyFont="1" applyProtection="1"/>
    <xf numFmtId="169" fontId="9" fillId="0" borderId="0" xfId="261" applyNumberFormat="1" applyFont="1" applyProtection="1"/>
    <xf numFmtId="169" fontId="9" fillId="0" borderId="6" xfId="261" applyNumberFormat="1" applyFont="1" applyBorder="1" applyProtection="1"/>
    <xf numFmtId="182" fontId="26" fillId="0" borderId="0" xfId="86" applyNumberFormat="1" applyFont="1" applyFill="1" applyProtection="1"/>
    <xf numFmtId="169" fontId="10" fillId="0" borderId="0" xfId="261" applyNumberFormat="1" applyFont="1" applyProtection="1"/>
    <xf numFmtId="3" fontId="10" fillId="0" borderId="0" xfId="261" quotePrefix="1" applyNumberFormat="1" applyFont="1" applyProtection="1"/>
    <xf numFmtId="172" fontId="7" fillId="0" borderId="0" xfId="261" applyAlignment="1" applyProtection="1">
      <alignment horizontal="center"/>
    </xf>
    <xf numFmtId="0" fontId="30" fillId="0" borderId="0" xfId="261" applyNumberFormat="1" applyFont="1" applyProtection="1"/>
    <xf numFmtId="0" fontId="118" fillId="0" borderId="0" xfId="261" applyNumberFormat="1" applyFont="1" applyProtection="1"/>
    <xf numFmtId="172" fontId="30" fillId="0" borderId="0" xfId="261" applyFont="1" applyProtection="1"/>
    <xf numFmtId="0" fontId="30" fillId="0" borderId="0" xfId="0" applyFont="1" applyAlignment="1">
      <alignment vertical="top" wrapText="1"/>
    </xf>
    <xf numFmtId="172" fontId="30" fillId="0" borderId="0" xfId="261" applyFont="1" applyAlignment="1" applyProtection="1">
      <alignment wrapText="1"/>
    </xf>
    <xf numFmtId="172" fontId="118" fillId="0" borderId="0" xfId="261" applyFont="1" applyProtection="1"/>
    <xf numFmtId="0" fontId="7" fillId="0" borderId="0" xfId="261" applyNumberFormat="1" applyProtection="1"/>
    <xf numFmtId="0" fontId="88" fillId="0" borderId="0" xfId="261" applyNumberFormat="1" applyFont="1" applyAlignment="1" applyProtection="1">
      <alignment horizontal="center"/>
    </xf>
    <xf numFmtId="174" fontId="0" fillId="0" borderId="0" xfId="86" applyNumberFormat="1" applyFont="1" applyFill="1" applyProtection="1"/>
    <xf numFmtId="173" fontId="0" fillId="0" borderId="13" xfId="0" applyNumberFormat="1" applyBorder="1"/>
    <xf numFmtId="43" fontId="0" fillId="0" borderId="0" xfId="0" applyNumberFormat="1"/>
    <xf numFmtId="174" fontId="16" fillId="0" borderId="0" xfId="86" applyNumberFormat="1" applyFont="1" applyFill="1" applyProtection="1"/>
    <xf numFmtId="0" fontId="7" fillId="0" borderId="0" xfId="0" applyFont="1"/>
    <xf numFmtId="0" fontId="7" fillId="0" borderId="0" xfId="265" applyFont="1"/>
    <xf numFmtId="0" fontId="7" fillId="0" borderId="0" xfId="265" applyFont="1" applyAlignment="1">
      <alignment horizontal="right"/>
    </xf>
    <xf numFmtId="0" fontId="14" fillId="0" borderId="0" xfId="265" applyFont="1" applyAlignment="1">
      <alignment horizontal="center"/>
    </xf>
    <xf numFmtId="0" fontId="9" fillId="0" borderId="0" xfId="265" applyFont="1"/>
    <xf numFmtId="0" fontId="84" fillId="0" borderId="0" xfId="265" applyFont="1"/>
    <xf numFmtId="0" fontId="30" fillId="0" borderId="0" xfId="0" applyFont="1" applyAlignment="1">
      <alignment horizontal="center"/>
    </xf>
    <xf numFmtId="0" fontId="7" fillId="0" borderId="0" xfId="0" applyFont="1" applyAlignment="1">
      <alignment horizontal="right"/>
    </xf>
    <xf numFmtId="0" fontId="10" fillId="0" borderId="0" xfId="265" applyFont="1"/>
    <xf numFmtId="0" fontId="30" fillId="0" borderId="0" xfId="265" applyFont="1" applyAlignment="1">
      <alignment horizontal="center"/>
    </xf>
    <xf numFmtId="0" fontId="13" fillId="0" borderId="0" xfId="265" applyFont="1" applyAlignment="1">
      <alignment horizontal="center"/>
    </xf>
    <xf numFmtId="0" fontId="13" fillId="0" borderId="0" xfId="265" applyFont="1"/>
    <xf numFmtId="0" fontId="16" fillId="0" borderId="0" xfId="265" applyFont="1"/>
    <xf numFmtId="173" fontId="16" fillId="0" borderId="0" xfId="265" applyNumberFormat="1" applyFont="1"/>
    <xf numFmtId="0" fontId="107" fillId="0" borderId="0" xfId="0" applyFont="1"/>
    <xf numFmtId="0" fontId="99" fillId="0" borderId="0" xfId="265" applyFont="1" applyAlignment="1">
      <alignment horizontal="center"/>
    </xf>
    <xf numFmtId="0" fontId="99" fillId="0" borderId="0" xfId="265" applyFont="1"/>
    <xf numFmtId="0" fontId="106" fillId="0" borderId="0" xfId="0" applyFont="1"/>
    <xf numFmtId="0" fontId="106" fillId="0" borderId="0" xfId="265" applyFont="1"/>
    <xf numFmtId="172" fontId="16" fillId="0" borderId="0" xfId="265" applyNumberFormat="1" applyFont="1" applyAlignment="1">
      <alignment horizontal="center"/>
    </xf>
    <xf numFmtId="43" fontId="16" fillId="0" borderId="0" xfId="116" applyFont="1" applyFill="1" applyProtection="1"/>
    <xf numFmtId="43" fontId="106" fillId="0" borderId="0" xfId="116" applyFont="1" applyFill="1" applyProtection="1"/>
    <xf numFmtId="185" fontId="16" fillId="0" borderId="0" xfId="0" applyNumberFormat="1" applyFont="1"/>
    <xf numFmtId="173" fontId="16" fillId="0" borderId="13" xfId="0" applyNumberFormat="1" applyFont="1" applyBorder="1"/>
    <xf numFmtId="173" fontId="16" fillId="0" borderId="13" xfId="265" applyNumberFormat="1" applyFont="1" applyBorder="1"/>
    <xf numFmtId="173" fontId="9" fillId="0" borderId="0" xfId="265" applyNumberFormat="1" applyFont="1"/>
    <xf numFmtId="0" fontId="16" fillId="0" borderId="0" xfId="0" applyFont="1" applyAlignment="1">
      <alignment vertical="top" wrapText="1"/>
    </xf>
    <xf numFmtId="0" fontId="10" fillId="0" borderId="0" xfId="0" applyFont="1" applyAlignment="1">
      <alignment horizontal="center"/>
    </xf>
    <xf numFmtId="173" fontId="10" fillId="0" borderId="0" xfId="0" applyNumberFormat="1" applyFont="1" applyAlignment="1">
      <alignment horizontal="center"/>
    </xf>
    <xf numFmtId="173" fontId="6" fillId="0" borderId="0" xfId="86" applyNumberFormat="1" applyProtection="1"/>
    <xf numFmtId="0" fontId="15" fillId="0" borderId="0" xfId="0" applyFont="1"/>
    <xf numFmtId="0" fontId="22" fillId="0" borderId="0" xfId="0" applyFont="1" applyAlignment="1">
      <alignment horizontal="left"/>
    </xf>
    <xf numFmtId="0" fontId="70" fillId="0" borderId="0" xfId="0" applyFont="1"/>
    <xf numFmtId="0" fontId="10" fillId="0" borderId="0" xfId="0" applyFont="1" applyAlignment="1">
      <alignment horizontal="left"/>
    </xf>
    <xf numFmtId="0" fontId="16" fillId="0" borderId="0" xfId="261" applyNumberFormat="1" applyFont="1" applyProtection="1"/>
    <xf numFmtId="3" fontId="16" fillId="0" borderId="0" xfId="261" applyNumberFormat="1" applyFont="1" applyProtection="1"/>
    <xf numFmtId="10" fontId="6" fillId="0" borderId="0" xfId="270" applyNumberFormat="1" applyAlignment="1" applyProtection="1">
      <alignment horizontal="right"/>
    </xf>
    <xf numFmtId="172" fontId="16" fillId="0" borderId="0" xfId="261" applyFont="1" applyProtection="1"/>
    <xf numFmtId="10" fontId="16" fillId="0" borderId="0" xfId="270" applyNumberFormat="1" applyFont="1" applyFill="1" applyAlignment="1" applyProtection="1">
      <alignment horizontal="right"/>
    </xf>
    <xf numFmtId="3" fontId="13" fillId="0" borderId="0" xfId="261" applyNumberFormat="1" applyFont="1" applyProtection="1"/>
    <xf numFmtId="10" fontId="16" fillId="0" borderId="0" xfId="261" applyNumberFormat="1" applyFont="1" applyAlignment="1" applyProtection="1">
      <alignment horizontal="right"/>
    </xf>
    <xf numFmtId="3" fontId="17" fillId="0" borderId="0" xfId="261" applyNumberFormat="1" applyFont="1" applyAlignment="1" applyProtection="1">
      <alignment horizontal="center"/>
    </xf>
    <xf numFmtId="10" fontId="17" fillId="0" borderId="0" xfId="261" applyNumberFormat="1" applyFont="1" applyAlignment="1" applyProtection="1">
      <alignment horizontal="center"/>
    </xf>
    <xf numFmtId="0" fontId="16" fillId="0" borderId="0" xfId="261" applyNumberFormat="1" applyFont="1" applyAlignment="1" applyProtection="1">
      <alignment horizontal="right"/>
    </xf>
    <xf numFmtId="10" fontId="0" fillId="0" borderId="0" xfId="0" applyNumberFormat="1" applyAlignment="1">
      <alignment horizontal="center"/>
    </xf>
    <xf numFmtId="164" fontId="16" fillId="0" borderId="0" xfId="270" applyNumberFormat="1" applyFont="1" applyAlignment="1" applyProtection="1"/>
    <xf numFmtId="166" fontId="16" fillId="0" borderId="0" xfId="261" applyNumberFormat="1" applyFont="1" applyAlignment="1" applyProtection="1">
      <alignment horizontal="center"/>
    </xf>
    <xf numFmtId="41" fontId="16" fillId="0" borderId="0" xfId="261" applyNumberFormat="1" applyFont="1" applyProtection="1"/>
    <xf numFmtId="41" fontId="16" fillId="0" borderId="0" xfId="261" applyNumberFormat="1" applyFont="1" applyAlignment="1" applyProtection="1">
      <alignment horizontal="center"/>
    </xf>
    <xf numFmtId="164" fontId="17" fillId="0" borderId="0" xfId="270" applyNumberFormat="1" applyFont="1" applyAlignment="1" applyProtection="1"/>
    <xf numFmtId="3" fontId="16" fillId="0" borderId="0" xfId="261" applyNumberFormat="1" applyFont="1" applyAlignment="1" applyProtection="1">
      <alignment horizontal="right"/>
    </xf>
    <xf numFmtId="172" fontId="6" fillId="0" borderId="17" xfId="261" applyFont="1" applyBorder="1" applyProtection="1"/>
    <xf numFmtId="0" fontId="6" fillId="0" borderId="0" xfId="261" applyNumberFormat="1" applyFont="1" applyAlignment="1" applyProtection="1">
      <alignment horizontal="center"/>
    </xf>
    <xf numFmtId="172" fontId="6" fillId="0" borderId="0" xfId="261" applyFont="1" applyProtection="1"/>
    <xf numFmtId="3" fontId="6" fillId="0" borderId="18" xfId="261" applyNumberFormat="1" applyFont="1" applyBorder="1" applyProtection="1"/>
    <xf numFmtId="10" fontId="16" fillId="0" borderId="0" xfId="261" applyNumberFormat="1" applyFont="1" applyAlignment="1" applyProtection="1">
      <alignment horizontal="left"/>
    </xf>
    <xf numFmtId="0" fontId="6" fillId="0" borderId="17" xfId="0" applyFont="1" applyBorder="1"/>
    <xf numFmtId="0" fontId="6" fillId="0" borderId="18" xfId="0" applyFont="1" applyBorder="1"/>
    <xf numFmtId="166" fontId="6" fillId="0" borderId="19" xfId="261" applyNumberFormat="1" applyFont="1" applyBorder="1" applyAlignment="1" applyProtection="1">
      <alignment horizontal="center"/>
    </xf>
    <xf numFmtId="0" fontId="6" fillId="0" borderId="6" xfId="261" applyNumberFormat="1" applyFont="1" applyBorder="1" applyAlignment="1" applyProtection="1">
      <alignment horizontal="center"/>
    </xf>
    <xf numFmtId="174" fontId="6" fillId="0" borderId="20" xfId="0" applyNumberFormat="1" applyFont="1" applyBorder="1"/>
    <xf numFmtId="41" fontId="6" fillId="0" borderId="0" xfId="261" applyNumberFormat="1" applyFont="1" applyProtection="1"/>
    <xf numFmtId="0" fontId="16" fillId="31" borderId="0" xfId="261" applyNumberFormat="1" applyFont="1" applyFill="1" applyProtection="1"/>
    <xf numFmtId="41" fontId="16" fillId="0" borderId="0" xfId="261" applyNumberFormat="1" applyFont="1" applyAlignment="1" applyProtection="1">
      <alignment horizontal="left"/>
    </xf>
    <xf numFmtId="41" fontId="6" fillId="0" borderId="0" xfId="261" applyNumberFormat="1" applyFont="1" applyAlignment="1" applyProtection="1">
      <alignment horizontal="right"/>
    </xf>
    <xf numFmtId="167" fontId="16" fillId="0" borderId="0" xfId="261" applyNumberFormat="1" applyFont="1" applyProtection="1"/>
    <xf numFmtId="164" fontId="16" fillId="0" borderId="0" xfId="261" applyNumberFormat="1" applyFont="1" applyAlignment="1" applyProtection="1">
      <alignment horizontal="left"/>
    </xf>
    <xf numFmtId="3" fontId="16" fillId="0" borderId="0" xfId="261" applyNumberFormat="1" applyFont="1" applyAlignment="1" applyProtection="1">
      <alignment vertical="center" wrapText="1"/>
    </xf>
    <xf numFmtId="41" fontId="16" fillId="0" borderId="0" xfId="261" applyNumberFormat="1" applyFont="1" applyAlignment="1" applyProtection="1">
      <alignment vertical="center"/>
    </xf>
    <xf numFmtId="41" fontId="16" fillId="0" borderId="0" xfId="261" applyNumberFormat="1" applyFont="1" applyAlignment="1" applyProtection="1">
      <alignment horizontal="center" vertical="center"/>
    </xf>
    <xf numFmtId="41" fontId="16" fillId="0" borderId="0" xfId="261" applyNumberFormat="1" applyFont="1" applyAlignment="1" applyProtection="1">
      <alignment horizontal="right"/>
    </xf>
    <xf numFmtId="173" fontId="16" fillId="0" borderId="0" xfId="86" applyNumberFormat="1" applyFont="1" applyProtection="1"/>
    <xf numFmtId="41" fontId="16" fillId="0" borderId="0" xfId="0" applyNumberFormat="1" applyFont="1"/>
    <xf numFmtId="41" fontId="16" fillId="0" borderId="11" xfId="261" applyNumberFormat="1" applyFont="1" applyBorder="1" applyProtection="1"/>
    <xf numFmtId="41" fontId="17" fillId="0" borderId="0" xfId="261" applyNumberFormat="1" applyFont="1" applyProtection="1"/>
    <xf numFmtId="3" fontId="16" fillId="0" borderId="0" xfId="261" applyNumberFormat="1" applyFont="1" applyAlignment="1" applyProtection="1">
      <alignment horizontal="center"/>
    </xf>
    <xf numFmtId="0" fontId="16" fillId="0" borderId="0" xfId="261" applyNumberFormat="1" applyFont="1" applyAlignment="1" applyProtection="1">
      <alignment horizontal="center"/>
    </xf>
    <xf numFmtId="10" fontId="16" fillId="0" borderId="0" xfId="261" applyNumberFormat="1" applyFont="1" applyProtection="1"/>
    <xf numFmtId="169" fontId="16" fillId="0" borderId="0" xfId="261" applyNumberFormat="1" applyFont="1" applyProtection="1"/>
    <xf numFmtId="169" fontId="13" fillId="0" borderId="0" xfId="261" applyNumberFormat="1" applyFont="1" applyProtection="1"/>
    <xf numFmtId="173" fontId="16" fillId="0" borderId="0" xfId="86" applyNumberFormat="1" applyFont="1" applyFill="1" applyBorder="1" applyProtection="1"/>
    <xf numFmtId="41" fontId="17" fillId="0" borderId="0" xfId="0" applyNumberFormat="1" applyFont="1"/>
    <xf numFmtId="182" fontId="16" fillId="0" borderId="0" xfId="86" applyNumberFormat="1" applyFont="1" applyProtection="1"/>
    <xf numFmtId="10" fontId="17" fillId="0" borderId="0" xfId="0" applyNumberFormat="1" applyFont="1"/>
    <xf numFmtId="0" fontId="16" fillId="31" borderId="0" xfId="0" applyFont="1" applyFill="1"/>
    <xf numFmtId="173" fontId="16" fillId="0" borderId="0" xfId="86" applyNumberFormat="1" applyFont="1" applyFill="1" applyProtection="1"/>
    <xf numFmtId="173" fontId="16" fillId="0" borderId="0" xfId="86" applyNumberFormat="1" applyFont="1" applyBorder="1" applyProtection="1"/>
    <xf numFmtId="43" fontId="16" fillId="0" borderId="0" xfId="86" applyFont="1" applyProtection="1"/>
    <xf numFmtId="173" fontId="16" fillId="0" borderId="0" xfId="0" applyNumberFormat="1" applyFont="1"/>
    <xf numFmtId="0" fontId="72" fillId="0" borderId="0" xfId="0" applyFont="1"/>
    <xf numFmtId="174" fontId="16" fillId="0" borderId="0" xfId="0" applyNumberFormat="1" applyFont="1"/>
    <xf numFmtId="0" fontId="10" fillId="0" borderId="0" xfId="0" applyFont="1"/>
    <xf numFmtId="0" fontId="13" fillId="0" borderId="21" xfId="0" applyFont="1" applyBorder="1"/>
    <xf numFmtId="0" fontId="13" fillId="0" borderId="15" xfId="0" applyFont="1" applyBorder="1"/>
    <xf numFmtId="0" fontId="16" fillId="0" borderId="15" xfId="0" applyFont="1" applyBorder="1"/>
    <xf numFmtId="0" fontId="9" fillId="0" borderId="0" xfId="86" applyNumberFormat="1" applyFont="1" applyFill="1" applyAlignment="1" applyProtection="1">
      <alignment horizontal="left"/>
    </xf>
    <xf numFmtId="0" fontId="9" fillId="0" borderId="0" xfId="86" applyNumberFormat="1" applyFont="1" applyFill="1" applyBorder="1" applyAlignment="1" applyProtection="1">
      <alignment horizontal="left"/>
    </xf>
    <xf numFmtId="0" fontId="13" fillId="0" borderId="17" xfId="0" applyFont="1" applyBorder="1"/>
    <xf numFmtId="0" fontId="13" fillId="0" borderId="0" xfId="0" applyFont="1"/>
    <xf numFmtId="173" fontId="16" fillId="0" borderId="20" xfId="86" applyNumberFormat="1" applyFont="1" applyBorder="1" applyProtection="1"/>
    <xf numFmtId="0" fontId="11" fillId="0" borderId="0" xfId="0" applyFont="1"/>
    <xf numFmtId="0" fontId="16" fillId="0" borderId="0" xfId="0" applyFont="1" applyAlignment="1">
      <alignment wrapText="1"/>
    </xf>
    <xf numFmtId="0" fontId="16" fillId="0" borderId="22" xfId="0" applyFont="1" applyBorder="1" applyAlignment="1">
      <alignment horizontal="center"/>
    </xf>
    <xf numFmtId="0" fontId="0" fillId="0" borderId="23" xfId="0" applyBorder="1"/>
    <xf numFmtId="0" fontId="0" fillId="0" borderId="24" xfId="0" applyBorder="1"/>
    <xf numFmtId="0" fontId="16" fillId="0" borderId="17" xfId="0" applyFont="1" applyBorder="1"/>
    <xf numFmtId="0" fontId="13" fillId="0" borderId="25" xfId="0" applyFont="1" applyBorder="1" applyAlignment="1">
      <alignment horizontal="center"/>
    </xf>
    <xf numFmtId="173" fontId="16" fillId="0" borderId="0" xfId="0" applyNumberFormat="1" applyFont="1" applyAlignment="1">
      <alignment horizontal="right"/>
    </xf>
    <xf numFmtId="10" fontId="16" fillId="0" borderId="18" xfId="0" applyNumberFormat="1" applyFont="1" applyBorder="1"/>
    <xf numFmtId="173" fontId="16" fillId="0" borderId="18" xfId="0" applyNumberFormat="1" applyFont="1" applyBorder="1" applyAlignment="1">
      <alignment horizontal="right"/>
    </xf>
    <xf numFmtId="0" fontId="16" fillId="0" borderId="19" xfId="0" applyFont="1" applyBorder="1"/>
    <xf numFmtId="0" fontId="16" fillId="0" borderId="6" xfId="0" applyFont="1" applyBorder="1" applyAlignment="1">
      <alignment horizontal="center"/>
    </xf>
    <xf numFmtId="0" fontId="0" fillId="0" borderId="6" xfId="0" applyBorder="1"/>
    <xf numFmtId="0" fontId="13" fillId="0" borderId="26" xfId="0" applyFont="1" applyBorder="1" applyAlignment="1">
      <alignment horizontal="center" wrapText="1"/>
    </xf>
    <xf numFmtId="173" fontId="13" fillId="0" borderId="0" xfId="86" applyNumberFormat="1" applyFont="1" applyBorder="1" applyAlignment="1" applyProtection="1">
      <alignment horizontal="center" wrapText="1"/>
    </xf>
    <xf numFmtId="173" fontId="13" fillId="0" borderId="26" xfId="86" applyNumberFormat="1" applyFont="1" applyBorder="1" applyAlignment="1" applyProtection="1">
      <alignment horizontal="center" wrapText="1"/>
    </xf>
    <xf numFmtId="173" fontId="13" fillId="0" borderId="25" xfId="86" applyNumberFormat="1" applyFont="1" applyBorder="1" applyAlignment="1" applyProtection="1">
      <alignment horizontal="center" wrapText="1"/>
    </xf>
    <xf numFmtId="0" fontId="13" fillId="0" borderId="27" xfId="0" applyFont="1" applyBorder="1" applyAlignment="1">
      <alignment horizontal="center" wrapText="1"/>
    </xf>
    <xf numFmtId="0" fontId="13" fillId="0" borderId="28" xfId="0" applyFont="1" applyBorder="1" applyAlignment="1">
      <alignment horizontal="center"/>
    </xf>
    <xf numFmtId="0" fontId="13" fillId="0" borderId="6" xfId="0" applyFont="1" applyBorder="1" applyAlignment="1">
      <alignment horizontal="center"/>
    </xf>
    <xf numFmtId="173" fontId="13" fillId="0" borderId="28" xfId="86" applyNumberFormat="1" applyFont="1" applyBorder="1" applyAlignment="1" applyProtection="1">
      <alignment horizontal="center"/>
    </xf>
    <xf numFmtId="173" fontId="13" fillId="0" borderId="20" xfId="86" applyNumberFormat="1" applyFont="1" applyBorder="1" applyAlignment="1" applyProtection="1">
      <alignment horizontal="center"/>
    </xf>
    <xf numFmtId="0" fontId="13" fillId="0" borderId="27" xfId="0" applyFont="1" applyBorder="1" applyAlignment="1">
      <alignment horizontal="center"/>
    </xf>
    <xf numFmtId="0" fontId="16" fillId="0" borderId="27" xfId="0" applyFont="1" applyBorder="1" applyAlignment="1">
      <alignment horizontal="center"/>
    </xf>
    <xf numFmtId="173" fontId="16" fillId="0" borderId="27" xfId="86" applyNumberFormat="1" applyFont="1" applyBorder="1" applyProtection="1"/>
    <xf numFmtId="173" fontId="16" fillId="0" borderId="27" xfId="86" applyNumberFormat="1" applyFont="1" applyFill="1" applyBorder="1" applyProtection="1"/>
    <xf numFmtId="173" fontId="16" fillId="0" borderId="18" xfId="86" applyNumberFormat="1" applyFont="1" applyFill="1" applyBorder="1" applyProtection="1"/>
    <xf numFmtId="174" fontId="16" fillId="0" borderId="27" xfId="0" applyNumberFormat="1" applyFont="1" applyBorder="1"/>
    <xf numFmtId="174" fontId="12" fillId="28" borderId="26" xfId="0" applyNumberFormat="1" applyFont="1" applyFill="1" applyBorder="1"/>
    <xf numFmtId="174" fontId="16" fillId="29" borderId="26" xfId="0" applyNumberFormat="1" applyFont="1" applyFill="1" applyBorder="1"/>
    <xf numFmtId="173" fontId="16" fillId="0" borderId="27" xfId="0" applyNumberFormat="1" applyFont="1" applyBorder="1"/>
    <xf numFmtId="173" fontId="16" fillId="0" borderId="18" xfId="86" applyNumberFormat="1" applyFont="1" applyBorder="1" applyProtection="1"/>
    <xf numFmtId="174" fontId="12" fillId="28" borderId="27" xfId="0" applyNumberFormat="1" applyFont="1" applyFill="1" applyBorder="1"/>
    <xf numFmtId="174" fontId="16" fillId="29" borderId="27" xfId="0" applyNumberFormat="1" applyFont="1" applyFill="1" applyBorder="1"/>
    <xf numFmtId="0" fontId="16" fillId="0" borderId="28" xfId="0" applyFont="1" applyBorder="1" applyAlignment="1">
      <alignment horizontal="center"/>
    </xf>
    <xf numFmtId="173" fontId="16" fillId="0" borderId="6" xfId="0" applyNumberFormat="1" applyFont="1" applyBorder="1"/>
    <xf numFmtId="173" fontId="16" fillId="0" borderId="28" xfId="0" applyNumberFormat="1" applyFont="1" applyBorder="1"/>
    <xf numFmtId="173" fontId="16" fillId="0" borderId="28" xfId="86" applyNumberFormat="1" applyFont="1" applyBorder="1" applyProtection="1"/>
    <xf numFmtId="174" fontId="16" fillId="0" borderId="28" xfId="0" applyNumberFormat="1" applyFont="1" applyBorder="1"/>
    <xf numFmtId="174" fontId="12" fillId="28" borderId="28" xfId="0" applyNumberFormat="1" applyFont="1" applyFill="1" applyBorder="1"/>
    <xf numFmtId="174" fontId="16" fillId="29" borderId="28" xfId="0" applyNumberFormat="1" applyFont="1" applyFill="1" applyBorder="1"/>
    <xf numFmtId="10" fontId="0" fillId="0" borderId="0" xfId="270" applyNumberFormat="1" applyFont="1" applyAlignment="1" applyProtection="1">
      <alignment horizontal="right"/>
    </xf>
    <xf numFmtId="172" fontId="16" fillId="0" borderId="21" xfId="261" applyFont="1" applyBorder="1" applyProtection="1"/>
    <xf numFmtId="172" fontId="16" fillId="0" borderId="15" xfId="261" applyFont="1" applyBorder="1" applyProtection="1"/>
    <xf numFmtId="3" fontId="16" fillId="0" borderId="25" xfId="261" applyNumberFormat="1" applyFont="1" applyBorder="1" applyProtection="1"/>
    <xf numFmtId="172" fontId="16" fillId="0" borderId="17" xfId="261" applyFont="1" applyBorder="1" applyProtection="1"/>
    <xf numFmtId="3" fontId="16" fillId="0" borderId="18" xfId="261" applyNumberFormat="1" applyFont="1" applyBorder="1" applyProtection="1"/>
    <xf numFmtId="0" fontId="16" fillId="0" borderId="0" xfId="261" quotePrefix="1" applyNumberFormat="1" applyFont="1" applyAlignment="1" applyProtection="1">
      <alignment horizontal="center"/>
    </xf>
    <xf numFmtId="0" fontId="16" fillId="0" borderId="18" xfId="0" applyFont="1" applyBorder="1"/>
    <xf numFmtId="10" fontId="36" fillId="0" borderId="0" xfId="0" applyNumberFormat="1" applyFont="1" applyAlignment="1">
      <alignment horizontal="center"/>
    </xf>
    <xf numFmtId="0" fontId="16" fillId="0" borderId="0" xfId="0" applyFont="1" applyAlignment="1">
      <alignment horizontal="right"/>
    </xf>
    <xf numFmtId="174" fontId="16" fillId="0" borderId="18" xfId="0" applyNumberFormat="1" applyFont="1" applyBorder="1"/>
    <xf numFmtId="174" fontId="16" fillId="0" borderId="20" xfId="0" applyNumberFormat="1" applyFont="1" applyBorder="1"/>
    <xf numFmtId="173" fontId="16" fillId="0" borderId="25" xfId="0" applyNumberFormat="1" applyFont="1" applyBorder="1"/>
    <xf numFmtId="166" fontId="16" fillId="0" borderId="19" xfId="261" applyNumberFormat="1" applyFont="1" applyBorder="1" applyAlignment="1" applyProtection="1">
      <alignment horizontal="center"/>
    </xf>
    <xf numFmtId="0" fontId="16" fillId="0" borderId="6" xfId="261" applyNumberFormat="1" applyFont="1" applyBorder="1" applyAlignment="1" applyProtection="1">
      <alignment horizontal="center"/>
    </xf>
    <xf numFmtId="173" fontId="16" fillId="0" borderId="6" xfId="261" quotePrefix="1" applyNumberFormat="1" applyFont="1" applyBorder="1" applyAlignment="1" applyProtection="1">
      <alignment horizontal="center"/>
    </xf>
    <xf numFmtId="10" fontId="16" fillId="0" borderId="0" xfId="270" applyNumberFormat="1" applyFont="1" applyFill="1" applyBorder="1" applyAlignment="1" applyProtection="1"/>
    <xf numFmtId="0" fontId="125" fillId="27" borderId="0" xfId="0" applyFont="1" applyFill="1"/>
    <xf numFmtId="0" fontId="13" fillId="0" borderId="21" xfId="0" applyFont="1" applyBorder="1" applyAlignment="1">
      <alignment horizontal="center"/>
    </xf>
    <xf numFmtId="173" fontId="16" fillId="0" borderId="17" xfId="86" applyNumberFormat="1" applyFont="1" applyBorder="1" applyProtection="1"/>
    <xf numFmtId="173" fontId="13" fillId="0" borderId="0" xfId="86" applyNumberFormat="1" applyFont="1" applyBorder="1" applyProtection="1"/>
    <xf numFmtId="173" fontId="16" fillId="0" borderId="18" xfId="0" applyNumberFormat="1" applyFont="1" applyBorder="1"/>
    <xf numFmtId="173" fontId="13" fillId="0" borderId="11" xfId="86" applyNumberFormat="1" applyFont="1" applyBorder="1" applyProtection="1"/>
    <xf numFmtId="173" fontId="16" fillId="0" borderId="29" xfId="0" applyNumberFormat="1" applyFont="1" applyBorder="1"/>
    <xf numFmtId="173" fontId="13" fillId="0" borderId="6" xfId="86" applyNumberFormat="1" applyFont="1" applyFill="1" applyBorder="1" applyAlignment="1" applyProtection="1">
      <alignment horizontal="left"/>
    </xf>
    <xf numFmtId="173" fontId="13" fillId="0" borderId="20" xfId="86" applyNumberFormat="1" applyFont="1" applyFill="1" applyBorder="1" applyAlignment="1" applyProtection="1">
      <alignment horizontal="left"/>
    </xf>
    <xf numFmtId="173" fontId="16" fillId="0" borderId="26" xfId="0" applyNumberFormat="1" applyFont="1" applyBorder="1"/>
    <xf numFmtId="174" fontId="16" fillId="0" borderId="26" xfId="0" applyNumberFormat="1" applyFont="1" applyBorder="1"/>
    <xf numFmtId="0" fontId="13" fillId="0" borderId="0" xfId="261" applyNumberFormat="1" applyFont="1" applyAlignment="1" applyProtection="1">
      <alignment vertical="center"/>
    </xf>
    <xf numFmtId="0" fontId="105" fillId="0" borderId="0" xfId="0" applyFont="1"/>
    <xf numFmtId="0" fontId="13" fillId="0" borderId="0" xfId="261" applyNumberFormat="1" applyFont="1" applyAlignment="1" applyProtection="1">
      <alignment vertical="top"/>
    </xf>
    <xf numFmtId="0" fontId="26" fillId="0" borderId="0" xfId="0" applyFont="1"/>
    <xf numFmtId="0" fontId="109" fillId="0" borderId="0" xfId="263" applyFont="1"/>
    <xf numFmtId="0" fontId="7" fillId="0" borderId="0" xfId="263"/>
    <xf numFmtId="44" fontId="109" fillId="0" borderId="0" xfId="118" applyFont="1" applyAlignment="1" applyProtection="1"/>
    <xf numFmtId="0" fontId="110" fillId="0" borderId="0" xfId="263" applyFont="1"/>
    <xf numFmtId="0" fontId="111" fillId="0" borderId="0" xfId="263" applyFont="1" applyAlignment="1">
      <alignment horizontal="center"/>
    </xf>
    <xf numFmtId="0" fontId="112" fillId="0" borderId="0" xfId="263" applyFont="1"/>
    <xf numFmtId="176" fontId="111" fillId="0" borderId="0" xfId="263" applyNumberFormat="1" applyFont="1" applyAlignment="1">
      <alignment horizontal="center"/>
    </xf>
    <xf numFmtId="0" fontId="111" fillId="0" borderId="0" xfId="263" applyFont="1"/>
    <xf numFmtId="176" fontId="111" fillId="0" borderId="0" xfId="263" quotePrefix="1" applyNumberFormat="1" applyFont="1" applyAlignment="1">
      <alignment horizontal="center"/>
    </xf>
    <xf numFmtId="194" fontId="111" fillId="0" borderId="0" xfId="263" quotePrefix="1" applyNumberFormat="1" applyFont="1" applyAlignment="1">
      <alignment horizontal="center"/>
    </xf>
    <xf numFmtId="0" fontId="113" fillId="0" borderId="0" xfId="263" applyFont="1"/>
    <xf numFmtId="0" fontId="114" fillId="0" borderId="16" xfId="263" applyFont="1" applyBorder="1"/>
    <xf numFmtId="0" fontId="110" fillId="0" borderId="16" xfId="263" applyFont="1" applyBorder="1"/>
    <xf numFmtId="0" fontId="46" fillId="0" borderId="0" xfId="263" applyFont="1"/>
    <xf numFmtId="0" fontId="9" fillId="0" borderId="0" xfId="260" applyFont="1"/>
    <xf numFmtId="0" fontId="6" fillId="0" borderId="0" xfId="260"/>
    <xf numFmtId="0" fontId="6" fillId="0" borderId="0" xfId="260" applyAlignment="1">
      <alignment horizontal="center"/>
    </xf>
    <xf numFmtId="0" fontId="122" fillId="0" borderId="0" xfId="0" applyFont="1" applyAlignment="1">
      <alignment horizontal="left"/>
    </xf>
    <xf numFmtId="0" fontId="122" fillId="0" borderId="0" xfId="0" applyFont="1"/>
    <xf numFmtId="0" fontId="122" fillId="0" borderId="26" xfId="0" applyFont="1" applyBorder="1" applyAlignment="1">
      <alignment horizontal="center" wrapText="1"/>
    </xf>
    <xf numFmtId="0" fontId="122" fillId="0" borderId="27" xfId="0" applyFont="1" applyBorder="1" applyAlignment="1">
      <alignment horizontal="center" wrapText="1"/>
    </xf>
    <xf numFmtId="0" fontId="122" fillId="0" borderId="27" xfId="0" applyFont="1" applyBorder="1"/>
    <xf numFmtId="170" fontId="123" fillId="0" borderId="0" xfId="0" applyNumberFormat="1" applyFont="1" applyAlignment="1">
      <alignment horizontal="right"/>
    </xf>
    <xf numFmtId="170" fontId="122" fillId="0" borderId="0" xfId="0" applyNumberFormat="1" applyFont="1" applyAlignment="1">
      <alignment horizontal="center"/>
    </xf>
    <xf numFmtId="170" fontId="122" fillId="0" borderId="0" xfId="0" applyNumberFormat="1" applyFont="1"/>
    <xf numFmtId="170" fontId="123" fillId="0" borderId="0" xfId="0" applyNumberFormat="1" applyFont="1" applyAlignment="1">
      <alignment horizontal="center"/>
    </xf>
    <xf numFmtId="170" fontId="9" fillId="0" borderId="0" xfId="0" applyNumberFormat="1" applyFont="1"/>
    <xf numFmtId="5" fontId="122" fillId="0" borderId="28" xfId="0" applyNumberFormat="1" applyFont="1" applyBorder="1" applyAlignment="1">
      <alignment horizontal="center"/>
    </xf>
    <xf numFmtId="173" fontId="122" fillId="0" borderId="0" xfId="0" applyNumberFormat="1" applyFont="1"/>
    <xf numFmtId="0" fontId="122" fillId="0" borderId="0" xfId="0" applyFont="1" applyAlignment="1">
      <alignment horizontal="center"/>
    </xf>
    <xf numFmtId="173" fontId="122" fillId="0" borderId="6" xfId="0" applyNumberFormat="1" applyFont="1" applyBorder="1"/>
    <xf numFmtId="0" fontId="122" fillId="0" borderId="6" xfId="0" applyFont="1" applyBorder="1" applyAlignment="1">
      <alignment horizontal="center"/>
    </xf>
    <xf numFmtId="0" fontId="9" fillId="0" borderId="6" xfId="0" applyFont="1" applyBorder="1"/>
    <xf numFmtId="173" fontId="122" fillId="0" borderId="0" xfId="0" applyNumberFormat="1" applyFont="1" applyAlignment="1">
      <alignment horizontal="left"/>
    </xf>
    <xf numFmtId="0" fontId="123" fillId="0" borderId="0" xfId="0" applyFont="1" applyAlignment="1">
      <alignment horizontal="left"/>
    </xf>
    <xf numFmtId="0" fontId="123" fillId="0" borderId="0" xfId="0" applyFont="1" applyAlignment="1">
      <alignment horizontal="center" wrapText="1"/>
    </xf>
    <xf numFmtId="0" fontId="123" fillId="0" borderId="0" xfId="0" applyFont="1" applyAlignment="1">
      <alignment horizontal="center"/>
    </xf>
    <xf numFmtId="173" fontId="123" fillId="0" borderId="0" xfId="0" applyNumberFormat="1" applyFont="1" applyAlignment="1">
      <alignment horizontal="center" wrapText="1"/>
    </xf>
    <xf numFmtId="173" fontId="123" fillId="0" borderId="0" xfId="0" applyNumberFormat="1" applyFont="1" applyAlignment="1">
      <alignment horizontal="center"/>
    </xf>
    <xf numFmtId="176" fontId="122" fillId="0" borderId="0" xfId="271" applyNumberFormat="1" applyFont="1" applyFill="1" applyProtection="1"/>
    <xf numFmtId="173" fontId="122" fillId="0" borderId="0" xfId="0" applyNumberFormat="1" applyFont="1" applyAlignment="1">
      <alignment horizontal="center"/>
    </xf>
    <xf numFmtId="0" fontId="124" fillId="0" borderId="0" xfId="0" applyFont="1" applyAlignment="1">
      <alignment horizontal="center"/>
    </xf>
    <xf numFmtId="173" fontId="122" fillId="0" borderId="0" xfId="88" applyNumberFormat="1" applyFont="1" applyFill="1" applyProtection="1"/>
    <xf numFmtId="176" fontId="122" fillId="0" borderId="0" xfId="0" applyNumberFormat="1" applyFont="1"/>
    <xf numFmtId="173" fontId="122" fillId="0" borderId="11" xfId="88" applyNumberFormat="1" applyFont="1" applyFill="1" applyBorder="1" applyProtection="1"/>
    <xf numFmtId="173" fontId="123" fillId="0" borderId="0" xfId="88" applyNumberFormat="1" applyFont="1" applyFill="1" applyProtection="1"/>
    <xf numFmtId="173" fontId="123" fillId="0" borderId="0" xfId="88" applyNumberFormat="1" applyFont="1" applyFill="1" applyAlignment="1" applyProtection="1">
      <alignment horizontal="center"/>
    </xf>
    <xf numFmtId="0" fontId="124" fillId="0" borderId="0" xfId="0" applyFont="1"/>
    <xf numFmtId="173" fontId="123" fillId="0" borderId="0" xfId="0" applyNumberFormat="1" applyFont="1"/>
    <xf numFmtId="196" fontId="9" fillId="0" borderId="0" xfId="0" applyNumberFormat="1" applyFont="1"/>
    <xf numFmtId="173" fontId="9" fillId="0" borderId="0" xfId="88" applyNumberFormat="1" applyFont="1" applyFill="1" applyProtection="1"/>
    <xf numFmtId="173" fontId="9" fillId="0" borderId="0" xfId="119" applyNumberFormat="1" applyFont="1" applyFill="1" applyProtection="1"/>
    <xf numFmtId="0" fontId="23" fillId="32" borderId="0" xfId="86" applyNumberFormat="1" applyFont="1" applyFill="1" applyAlignment="1" applyProtection="1">
      <protection locked="0"/>
    </xf>
    <xf numFmtId="173" fontId="23" fillId="32" borderId="0" xfId="86" applyNumberFormat="1" applyFont="1" applyFill="1" applyAlignment="1" applyProtection="1">
      <alignment horizontal="right"/>
      <protection locked="0"/>
    </xf>
    <xf numFmtId="41" fontId="23" fillId="32" borderId="0" xfId="261" applyNumberFormat="1" applyFont="1" applyFill="1" applyProtection="1">
      <protection locked="0"/>
    </xf>
    <xf numFmtId="41" fontId="23" fillId="32" borderId="6" xfId="261" applyNumberFormat="1" applyFont="1" applyFill="1" applyBorder="1" applyProtection="1">
      <protection locked="0"/>
    </xf>
    <xf numFmtId="3" fontId="23" fillId="32" borderId="0" xfId="261" applyNumberFormat="1" applyFont="1" applyFill="1" applyProtection="1">
      <protection locked="0"/>
    </xf>
    <xf numFmtId="3" fontId="23" fillId="32" borderId="6" xfId="261" applyNumberFormat="1" applyFont="1" applyFill="1" applyBorder="1" applyProtection="1">
      <protection locked="0"/>
    </xf>
    <xf numFmtId="10" fontId="23" fillId="32" borderId="0" xfId="270" applyNumberFormat="1" applyFont="1" applyFill="1" applyAlignment="1" applyProtection="1">
      <protection locked="0"/>
    </xf>
    <xf numFmtId="173" fontId="12" fillId="32" borderId="0" xfId="89" applyNumberFormat="1" applyFont="1" applyFill="1" applyBorder="1" applyAlignment="1" applyProtection="1">
      <alignment horizontal="right"/>
      <protection locked="0"/>
    </xf>
    <xf numFmtId="0" fontId="36" fillId="32" borderId="0" xfId="214" applyFont="1" applyFill="1" applyProtection="1">
      <protection locked="0"/>
    </xf>
    <xf numFmtId="173" fontId="12" fillId="32" borderId="11" xfId="89" applyNumberFormat="1" applyFont="1" applyFill="1" applyBorder="1" applyAlignment="1" applyProtection="1">
      <alignment horizontal="right"/>
      <protection locked="0"/>
    </xf>
    <xf numFmtId="41" fontId="12" fillId="32" borderId="0" xfId="253" applyNumberFormat="1" applyFont="1" applyFill="1" applyProtection="1">
      <protection locked="0"/>
    </xf>
    <xf numFmtId="41" fontId="12" fillId="32" borderId="11" xfId="253" applyNumberFormat="1" applyFont="1" applyFill="1" applyBorder="1" applyProtection="1">
      <protection locked="0"/>
    </xf>
    <xf numFmtId="37" fontId="12" fillId="32" borderId="0" xfId="0" applyNumberFormat="1" applyFont="1" applyFill="1" applyProtection="1">
      <protection locked="0"/>
    </xf>
    <xf numFmtId="3" fontId="67" fillId="32" borderId="0" xfId="0" applyNumberFormat="1" applyFont="1" applyFill="1" applyProtection="1">
      <protection locked="0"/>
    </xf>
    <xf numFmtId="3" fontId="126" fillId="32" borderId="0" xfId="0" applyNumberFormat="1" applyFont="1" applyFill="1" applyProtection="1">
      <protection locked="0"/>
    </xf>
    <xf numFmtId="37" fontId="126" fillId="32" borderId="0" xfId="0" applyNumberFormat="1" applyFont="1" applyFill="1" applyProtection="1">
      <protection locked="0"/>
    </xf>
    <xf numFmtId="1" fontId="67" fillId="32" borderId="0" xfId="0" applyNumberFormat="1" applyFont="1" applyFill="1" applyAlignment="1" applyProtection="1">
      <alignment horizontal="left"/>
      <protection locked="0"/>
    </xf>
    <xf numFmtId="38" fontId="67" fillId="0" borderId="15" xfId="0" applyNumberFormat="1" applyFont="1" applyBorder="1"/>
    <xf numFmtId="173" fontId="12" fillId="0" borderId="0" xfId="86" applyNumberFormat="1" applyFont="1" applyFill="1" applyProtection="1"/>
    <xf numFmtId="173" fontId="0" fillId="0" borderId="11" xfId="0" applyNumberFormat="1" applyBorder="1"/>
    <xf numFmtId="173" fontId="12" fillId="32" borderId="0" xfId="116" applyNumberFormat="1" applyFont="1" applyFill="1" applyProtection="1">
      <protection locked="0"/>
    </xf>
    <xf numFmtId="0" fontId="23" fillId="32" borderId="0" xfId="253" applyFont="1" applyFill="1" applyAlignment="1" applyProtection="1">
      <alignment horizontal="center"/>
      <protection locked="0"/>
    </xf>
    <xf numFmtId="3" fontId="23" fillId="32" borderId="0" xfId="0" applyNumberFormat="1" applyFont="1" applyFill="1" applyProtection="1">
      <protection locked="0"/>
    </xf>
    <xf numFmtId="41" fontId="23" fillId="32" borderId="0" xfId="253" applyNumberFormat="1" applyFont="1" applyFill="1" applyProtection="1">
      <protection locked="0"/>
    </xf>
    <xf numFmtId="38" fontId="12" fillId="32" borderId="0" xfId="0" applyNumberFormat="1" applyFont="1" applyFill="1" applyProtection="1">
      <protection locked="0"/>
    </xf>
    <xf numFmtId="10" fontId="23" fillId="32" borderId="0" xfId="0" applyNumberFormat="1" applyFont="1" applyFill="1" applyProtection="1">
      <protection locked="0"/>
    </xf>
    <xf numFmtId="10" fontId="23" fillId="32" borderId="11" xfId="0" applyNumberFormat="1" applyFont="1" applyFill="1" applyBorder="1" applyProtection="1">
      <protection locked="0"/>
    </xf>
    <xf numFmtId="173" fontId="81" fillId="32" borderId="0" xfId="262" applyNumberFormat="1" applyFont="1" applyFill="1" applyProtection="1">
      <protection locked="0"/>
    </xf>
    <xf numFmtId="0" fontId="75" fillId="32" borderId="0" xfId="262" applyFont="1" applyFill="1" applyAlignment="1" applyProtection="1">
      <alignment horizontal="center"/>
      <protection locked="0"/>
    </xf>
    <xf numFmtId="0" fontId="12" fillId="32" borderId="0" xfId="86" applyNumberFormat="1" applyFont="1" applyFill="1" applyAlignment="1" applyProtection="1">
      <protection locked="0"/>
    </xf>
    <xf numFmtId="173" fontId="6" fillId="32" borderId="6" xfId="261" applyNumberFormat="1" applyFont="1" applyFill="1" applyBorder="1" applyAlignment="1" applyProtection="1">
      <alignment horizontal="center"/>
      <protection locked="0"/>
    </xf>
    <xf numFmtId="0" fontId="23" fillId="32" borderId="0" xfId="86" applyNumberFormat="1" applyFont="1" applyFill="1" applyAlignment="1" applyProtection="1">
      <alignment horizontal="left"/>
      <protection locked="0"/>
    </xf>
    <xf numFmtId="173" fontId="156" fillId="32" borderId="18" xfId="86" applyNumberFormat="1" applyFont="1" applyFill="1" applyBorder="1" applyAlignment="1" applyProtection="1">
      <alignment horizontal="right"/>
      <protection locked="0"/>
    </xf>
    <xf numFmtId="0" fontId="156" fillId="32" borderId="18" xfId="0" applyFont="1" applyFill="1" applyBorder="1" applyAlignment="1" applyProtection="1">
      <alignment horizontal="right"/>
      <protection locked="0"/>
    </xf>
    <xf numFmtId="173" fontId="12" fillId="32" borderId="18" xfId="86" applyNumberFormat="1" applyFont="1" applyFill="1" applyBorder="1" applyAlignment="1" applyProtection="1">
      <alignment horizontal="right"/>
      <protection locked="0"/>
    </xf>
    <xf numFmtId="0" fontId="12" fillId="32" borderId="20" xfId="0" applyFont="1" applyFill="1" applyBorder="1" applyAlignment="1" applyProtection="1">
      <alignment horizontal="right"/>
      <protection locked="0"/>
    </xf>
    <xf numFmtId="173" fontId="12" fillId="32" borderId="18" xfId="0" applyNumberFormat="1" applyFont="1" applyFill="1" applyBorder="1" applyAlignment="1" applyProtection="1">
      <alignment horizontal="right"/>
      <protection locked="0"/>
    </xf>
    <xf numFmtId="174" fontId="12" fillId="32" borderId="26" xfId="0" applyNumberFormat="1" applyFont="1" applyFill="1" applyBorder="1" applyProtection="1">
      <protection locked="0"/>
    </xf>
    <xf numFmtId="174" fontId="12" fillId="32" borderId="27" xfId="0" applyNumberFormat="1" applyFont="1" applyFill="1" applyBorder="1" applyProtection="1">
      <protection locked="0"/>
    </xf>
    <xf numFmtId="174" fontId="12" fillId="32" borderId="28" xfId="0" applyNumberFormat="1" applyFont="1" applyFill="1" applyBorder="1" applyProtection="1">
      <protection locked="0"/>
    </xf>
    <xf numFmtId="174" fontId="16" fillId="32" borderId="0" xfId="0" applyNumberFormat="1" applyFont="1" applyFill="1" applyProtection="1">
      <protection locked="0"/>
    </xf>
    <xf numFmtId="174" fontId="16" fillId="32" borderId="6" xfId="0" applyNumberFormat="1" applyFont="1" applyFill="1" applyBorder="1" applyProtection="1">
      <protection locked="0"/>
    </xf>
    <xf numFmtId="0" fontId="12" fillId="32" borderId="18" xfId="0" applyFont="1" applyFill="1" applyBorder="1" applyAlignment="1" applyProtection="1">
      <alignment horizontal="right"/>
      <protection locked="0"/>
    </xf>
    <xf numFmtId="0" fontId="21" fillId="0" borderId="0" xfId="253" applyFont="1" applyAlignment="1">
      <alignment wrapText="1"/>
    </xf>
    <xf numFmtId="173" fontId="12" fillId="32" borderId="0" xfId="88" applyNumberFormat="1" applyFont="1" applyFill="1" applyBorder="1" applyProtection="1">
      <protection locked="0"/>
    </xf>
    <xf numFmtId="173" fontId="24" fillId="32" borderId="0" xfId="86" applyNumberFormat="1" applyFont="1" applyFill="1" applyProtection="1">
      <protection locked="0"/>
    </xf>
    <xf numFmtId="190" fontId="24" fillId="32" borderId="0" xfId="0" applyNumberFormat="1" applyFont="1" applyFill="1" applyProtection="1">
      <protection locked="0"/>
    </xf>
    <xf numFmtId="0" fontId="0" fillId="32" borderId="0" xfId="0" applyFill="1" applyAlignment="1" applyProtection="1">
      <alignment horizontal="center"/>
      <protection locked="0"/>
    </xf>
    <xf numFmtId="0" fontId="24" fillId="32" borderId="0" xfId="0" applyFont="1" applyFill="1" applyProtection="1">
      <protection locked="0"/>
    </xf>
    <xf numFmtId="170" fontId="122" fillId="32" borderId="28" xfId="0" applyNumberFormat="1" applyFont="1" applyFill="1" applyBorder="1" applyAlignment="1" applyProtection="1">
      <alignment horizontal="center"/>
      <protection locked="0"/>
    </xf>
    <xf numFmtId="176" fontId="122" fillId="32" borderId="0" xfId="271" applyNumberFormat="1" applyFont="1" applyFill="1" applyProtection="1">
      <protection locked="0"/>
    </xf>
    <xf numFmtId="198" fontId="157" fillId="31" borderId="0" xfId="0" applyNumberFormat="1" applyFont="1" applyFill="1" applyAlignment="1">
      <alignment horizontal="right"/>
    </xf>
    <xf numFmtId="41" fontId="12" fillId="32" borderId="0" xfId="254" applyNumberFormat="1" applyFont="1" applyFill="1"/>
    <xf numFmtId="41" fontId="12" fillId="32" borderId="11" xfId="254" applyNumberFormat="1" applyFont="1" applyFill="1" applyBorder="1"/>
    <xf numFmtId="173" fontId="12" fillId="0" borderId="0" xfId="116" applyNumberFormat="1" applyFont="1" applyFill="1" applyProtection="1">
      <protection locked="0"/>
    </xf>
    <xf numFmtId="0" fontId="130" fillId="0" borderId="0" xfId="0" applyFont="1" applyAlignment="1">
      <alignment vertical="center"/>
    </xf>
    <xf numFmtId="0" fontId="83" fillId="0" borderId="0" xfId="214" applyFont="1" applyAlignment="1">
      <alignment horizontal="center"/>
    </xf>
    <xf numFmtId="173" fontId="81" fillId="0" borderId="0" xfId="262" applyNumberFormat="1" applyFont="1" applyProtection="1">
      <protection locked="0"/>
    </xf>
    <xf numFmtId="0" fontId="75" fillId="0" borderId="0" xfId="262" applyFont="1" applyAlignment="1" applyProtection="1">
      <alignment horizontal="center"/>
      <protection locked="0"/>
    </xf>
    <xf numFmtId="0" fontId="131" fillId="0" borderId="0" xfId="0" applyFont="1" applyAlignment="1">
      <alignment horizontal="center"/>
    </xf>
    <xf numFmtId="172" fontId="16" fillId="0" borderId="0" xfId="258" applyFont="1"/>
    <xf numFmtId="0" fontId="16" fillId="0" borderId="0" xfId="264"/>
    <xf numFmtId="173" fontId="16" fillId="0" borderId="14" xfId="88" applyNumberFormat="1" applyFont="1" applyBorder="1"/>
    <xf numFmtId="173" fontId="16" fillId="0" borderId="32" xfId="88" applyNumberFormat="1" applyFont="1" applyBorder="1"/>
    <xf numFmtId="0" fontId="16" fillId="0" borderId="14" xfId="0" applyFont="1" applyBorder="1" applyAlignment="1">
      <alignment horizontal="center"/>
    </xf>
    <xf numFmtId="173" fontId="12" fillId="32" borderId="0" xfId="89" applyNumberFormat="1" applyFont="1" applyFill="1" applyBorder="1" applyAlignment="1">
      <alignment horizontal="right"/>
    </xf>
    <xf numFmtId="0" fontId="16" fillId="0" borderId="35" xfId="0" applyFont="1" applyBorder="1" applyAlignment="1">
      <alignment horizontal="center"/>
    </xf>
    <xf numFmtId="0" fontId="16" fillId="0" borderId="34" xfId="0" applyFont="1" applyBorder="1" applyAlignment="1">
      <alignment horizontal="center"/>
    </xf>
    <xf numFmtId="0" fontId="131" fillId="0" borderId="0" xfId="0" applyFont="1"/>
    <xf numFmtId="3" fontId="16" fillId="0" borderId="11" xfId="214" applyNumberFormat="1" applyBorder="1" applyAlignment="1">
      <alignment horizontal="center" wrapText="1"/>
    </xf>
    <xf numFmtId="3" fontId="16" fillId="0" borderId="35" xfId="214" applyNumberFormat="1" applyBorder="1" applyAlignment="1">
      <alignment horizontal="center" wrapText="1"/>
    </xf>
    <xf numFmtId="0" fontId="13" fillId="0" borderId="0" xfId="264" applyFont="1" applyAlignment="1">
      <alignment horizontal="center"/>
    </xf>
    <xf numFmtId="0" fontId="13" fillId="0" borderId="33" xfId="264" applyFont="1" applyBorder="1" applyAlignment="1">
      <alignment horizontal="center"/>
    </xf>
    <xf numFmtId="0" fontId="13" fillId="0" borderId="34" xfId="264" applyFont="1" applyBorder="1" applyAlignment="1">
      <alignment horizontal="center"/>
    </xf>
    <xf numFmtId="0" fontId="13" fillId="0" borderId="33" xfId="264" applyFont="1" applyBorder="1" applyAlignment="1">
      <alignment horizontal="center" wrapText="1"/>
    </xf>
    <xf numFmtId="0" fontId="13" fillId="0" borderId="0" xfId="264" applyFont="1" applyAlignment="1">
      <alignment horizontal="center" wrapText="1"/>
    </xf>
    <xf numFmtId="0" fontId="13" fillId="0" borderId="34" xfId="264" applyFont="1" applyBorder="1" applyAlignment="1">
      <alignment horizontal="center" wrapText="1"/>
    </xf>
    <xf numFmtId="0" fontId="16" fillId="0" borderId="34" xfId="0" applyFont="1" applyBorder="1" applyAlignment="1">
      <alignment horizontal="center" wrapText="1"/>
    </xf>
    <xf numFmtId="0" fontId="16" fillId="0" borderId="2" xfId="0" applyFont="1" applyBorder="1"/>
    <xf numFmtId="0" fontId="16" fillId="0" borderId="36" xfId="0" applyFont="1" applyBorder="1"/>
    <xf numFmtId="0" fontId="13" fillId="0" borderId="2" xfId="264" applyFont="1" applyBorder="1" applyAlignment="1">
      <alignment horizontal="centerContinuous" wrapText="1"/>
    </xf>
    <xf numFmtId="0" fontId="16" fillId="0" borderId="36" xfId="0" applyFont="1" applyBorder="1" applyAlignment="1">
      <alignment horizontal="center"/>
    </xf>
    <xf numFmtId="37" fontId="16" fillId="0" borderId="0" xfId="264" applyNumberFormat="1"/>
    <xf numFmtId="173" fontId="16" fillId="0" borderId="14" xfId="89" applyNumberFormat="1" applyFont="1" applyBorder="1"/>
    <xf numFmtId="0" fontId="16" fillId="0" borderId="39" xfId="264" applyBorder="1" applyAlignment="1">
      <alignment horizontal="right"/>
    </xf>
    <xf numFmtId="0" fontId="16" fillId="0" borderId="40" xfId="0" applyFont="1" applyBorder="1" applyAlignment="1">
      <alignment horizontal="center"/>
    </xf>
    <xf numFmtId="0" fontId="16" fillId="0" borderId="37" xfId="264" applyBorder="1"/>
    <xf numFmtId="0" fontId="16" fillId="0" borderId="33" xfId="264" applyBorder="1"/>
    <xf numFmtId="0" fontId="16" fillId="0" borderId="33" xfId="264" quotePrefix="1" applyBorder="1" applyAlignment="1">
      <alignment horizontal="left"/>
    </xf>
    <xf numFmtId="3" fontId="28" fillId="0" borderId="11" xfId="214" applyNumberFormat="1" applyFont="1" applyBorder="1" applyAlignment="1">
      <alignment horizontal="center" wrapText="1"/>
    </xf>
    <xf numFmtId="0" fontId="13" fillId="0" borderId="38" xfId="264" applyFont="1" applyBorder="1" applyAlignment="1">
      <alignment horizontal="center" wrapText="1"/>
    </xf>
    <xf numFmtId="0" fontId="16" fillId="0" borderId="36" xfId="0" applyFont="1" applyBorder="1" applyAlignment="1">
      <alignment horizontal="center" wrapText="1"/>
    </xf>
    <xf numFmtId="0" fontId="13" fillId="0" borderId="0" xfId="264" applyFont="1" applyAlignment="1">
      <alignment horizontal="centerContinuous"/>
    </xf>
    <xf numFmtId="0" fontId="16" fillId="0" borderId="0" xfId="192"/>
    <xf numFmtId="0" fontId="16" fillId="0" borderId="0" xfId="264" applyAlignment="1">
      <alignment horizontal="left"/>
    </xf>
    <xf numFmtId="0" fontId="21" fillId="0" borderId="0" xfId="214" applyFont="1" applyAlignment="1">
      <alignment horizontal="center" vertical="center"/>
    </xf>
    <xf numFmtId="0" fontId="21" fillId="0" borderId="0" xfId="253" applyFont="1" applyAlignment="1">
      <alignment horizontal="center" vertical="center" wrapText="1"/>
    </xf>
    <xf numFmtId="0" fontId="21" fillId="0" borderId="0" xfId="214" quotePrefix="1" applyFont="1" applyAlignment="1">
      <alignment horizontal="center" vertical="center" wrapText="1"/>
    </xf>
    <xf numFmtId="0" fontId="21" fillId="0" borderId="0" xfId="214" applyFont="1" applyAlignment="1">
      <alignment horizontal="left" vertical="center"/>
    </xf>
    <xf numFmtId="173" fontId="0" fillId="0" borderId="11" xfId="86" applyNumberFormat="1" applyFont="1" applyFill="1" applyBorder="1"/>
    <xf numFmtId="173" fontId="67" fillId="0" borderId="0" xfId="86" applyNumberFormat="1" applyFont="1" applyFill="1" applyAlignment="1" applyProtection="1">
      <alignment horizontal="left"/>
      <protection locked="0"/>
    </xf>
    <xf numFmtId="173" fontId="67" fillId="0" borderId="11" xfId="86" applyNumberFormat="1" applyFont="1" applyFill="1" applyBorder="1" applyAlignment="1" applyProtection="1">
      <alignment horizontal="left"/>
      <protection locked="0"/>
    </xf>
    <xf numFmtId="0" fontId="19" fillId="0" borderId="0" xfId="0" applyFont="1" applyAlignment="1">
      <alignment horizontal="center"/>
    </xf>
    <xf numFmtId="0" fontId="19" fillId="0" borderId="0" xfId="0" applyFont="1" applyAlignment="1">
      <alignment horizontal="right"/>
    </xf>
    <xf numFmtId="0" fontId="96" fillId="0" borderId="0" xfId="264" applyFont="1" applyAlignment="1">
      <alignment horizontal="centerContinuous"/>
    </xf>
    <xf numFmtId="0" fontId="19" fillId="0" borderId="0" xfId="264" applyFont="1" applyAlignment="1">
      <alignment horizontal="left"/>
    </xf>
    <xf numFmtId="0" fontId="96" fillId="0" borderId="0" xfId="264" applyFont="1" applyAlignment="1">
      <alignment horizontal="center"/>
    </xf>
    <xf numFmtId="0" fontId="13" fillId="0" borderId="41" xfId="264" applyFont="1" applyBorder="1" applyAlignment="1">
      <alignment horizontal="center" wrapText="1"/>
    </xf>
    <xf numFmtId="0" fontId="19" fillId="0" borderId="0" xfId="0" applyFont="1" applyAlignment="1">
      <alignment wrapText="1"/>
    </xf>
    <xf numFmtId="0" fontId="13" fillId="0" borderId="10" xfId="264" applyFont="1" applyBorder="1" applyAlignment="1">
      <alignment horizontal="center"/>
    </xf>
    <xf numFmtId="0" fontId="132" fillId="0" borderId="0" xfId="0" applyFont="1"/>
    <xf numFmtId="3" fontId="28" fillId="0" borderId="35" xfId="214" applyNumberFormat="1" applyFont="1" applyBorder="1" applyAlignment="1">
      <alignment horizontal="center" wrapText="1"/>
    </xf>
    <xf numFmtId="3" fontId="28" fillId="0" borderId="42" xfId="214" applyNumberFormat="1" applyFont="1" applyBorder="1" applyAlignment="1">
      <alignment wrapText="1"/>
    </xf>
    <xf numFmtId="173" fontId="12" fillId="30" borderId="0" xfId="110" applyNumberFormat="1" applyFont="1" applyFill="1" applyAlignment="1" applyProtection="1">
      <protection locked="0"/>
    </xf>
    <xf numFmtId="41" fontId="16" fillId="0" borderId="10" xfId="264" applyNumberFormat="1" applyBorder="1"/>
    <xf numFmtId="173" fontId="16" fillId="0" borderId="43" xfId="88" applyNumberFormat="1" applyFont="1" applyBorder="1"/>
    <xf numFmtId="3" fontId="28" fillId="0" borderId="42" xfId="214" applyNumberFormat="1" applyFont="1" applyBorder="1" applyAlignment="1">
      <alignment horizontal="center" wrapText="1"/>
    </xf>
    <xf numFmtId="0" fontId="19" fillId="0" borderId="0" xfId="264" applyFont="1"/>
    <xf numFmtId="37" fontId="19" fillId="0" borderId="0" xfId="264" applyNumberFormat="1" applyFont="1"/>
    <xf numFmtId="172" fontId="19" fillId="0" borderId="0" xfId="258" applyFont="1"/>
    <xf numFmtId="0" fontId="16" fillId="0" borderId="0" xfId="255" applyAlignment="1">
      <alignment vertical="top"/>
    </xf>
    <xf numFmtId="0" fontId="132" fillId="0" borderId="0" xfId="0" applyFont="1" applyAlignment="1">
      <alignment horizontal="center"/>
    </xf>
    <xf numFmtId="0" fontId="95" fillId="0" borderId="0" xfId="256" applyFont="1"/>
    <xf numFmtId="0" fontId="96" fillId="0" borderId="0" xfId="0" applyFont="1" applyAlignment="1">
      <alignment horizontal="center"/>
    </xf>
    <xf numFmtId="0" fontId="96" fillId="0" borderId="0" xfId="0" quotePrefix="1" applyFont="1" applyAlignment="1">
      <alignment horizontal="center"/>
    </xf>
    <xf numFmtId="0" fontId="13" fillId="0" borderId="0" xfId="256" applyFont="1" applyAlignment="1">
      <alignment horizontal="left"/>
    </xf>
    <xf numFmtId="173" fontId="16" fillId="0" borderId="0" xfId="88" applyNumberFormat="1" applyFont="1" applyFill="1" applyProtection="1"/>
    <xf numFmtId="0" fontId="16" fillId="0" borderId="0" xfId="256"/>
    <xf numFmtId="0" fontId="16" fillId="0" borderId="0" xfId="186"/>
    <xf numFmtId="0" fontId="16" fillId="0" borderId="0" xfId="256" applyAlignment="1">
      <alignment horizontal="left"/>
    </xf>
    <xf numFmtId="173" fontId="12" fillId="32" borderId="0" xfId="88" applyNumberFormat="1" applyFont="1" applyFill="1" applyProtection="1">
      <protection locked="0"/>
    </xf>
    <xf numFmtId="0" fontId="16" fillId="0" borderId="0" xfId="255" applyAlignment="1">
      <alignment horizontal="left"/>
    </xf>
    <xf numFmtId="173" fontId="12" fillId="0" borderId="0" xfId="88" applyNumberFormat="1" applyFont="1" applyFill="1" applyProtection="1">
      <protection locked="0"/>
    </xf>
    <xf numFmtId="10" fontId="16" fillId="0" borderId="0" xfId="271" applyNumberFormat="1" applyFont="1" applyFill="1" applyBorder="1" applyProtection="1"/>
    <xf numFmtId="173" fontId="12" fillId="30" borderId="6" xfId="88" applyNumberFormat="1" applyFont="1" applyFill="1" applyBorder="1" applyAlignment="1" applyProtection="1">
      <protection locked="0"/>
    </xf>
    <xf numFmtId="10" fontId="13" fillId="0" borderId="0" xfId="271" applyNumberFormat="1" applyFont="1" applyFill="1" applyBorder="1" applyProtection="1"/>
    <xf numFmtId="0" fontId="13" fillId="0" borderId="0" xfId="256" applyFont="1"/>
    <xf numFmtId="173" fontId="16" fillId="0" borderId="0" xfId="271" applyNumberFormat="1" applyFont="1" applyFill="1" applyBorder="1" applyProtection="1"/>
    <xf numFmtId="10" fontId="13" fillId="0" borderId="44" xfId="271" applyNumberFormat="1" applyFont="1" applyFill="1" applyBorder="1" applyProtection="1"/>
    <xf numFmtId="0" fontId="104" fillId="0" borderId="0" xfId="186" applyFont="1" applyAlignment="1">
      <alignment horizontal="center"/>
    </xf>
    <xf numFmtId="0" fontId="19" fillId="0" borderId="0" xfId="256" applyFont="1"/>
    <xf numFmtId="41" fontId="13" fillId="0" borderId="0" xfId="256" applyNumberFormat="1" applyFont="1" applyAlignment="1">
      <alignment horizontal="center" wrapText="1"/>
    </xf>
    <xf numFmtId="0" fontId="12" fillId="32" borderId="0" xfId="256" applyFont="1" applyFill="1" applyProtection="1">
      <protection locked="0"/>
    </xf>
    <xf numFmtId="173" fontId="19" fillId="0" borderId="0" xfId="256" applyNumberFormat="1" applyFont="1"/>
    <xf numFmtId="197" fontId="12" fillId="32" borderId="0" xfId="256" applyNumberFormat="1" applyFont="1" applyFill="1" applyProtection="1">
      <protection locked="0"/>
    </xf>
    <xf numFmtId="173" fontId="12" fillId="32" borderId="0" xfId="256" applyNumberFormat="1" applyFont="1" applyFill="1" applyProtection="1">
      <protection locked="0"/>
    </xf>
    <xf numFmtId="0" fontId="86" fillId="32" borderId="0" xfId="256" applyFont="1" applyFill="1" applyProtection="1">
      <protection locked="0"/>
    </xf>
    <xf numFmtId="0" fontId="16" fillId="0" borderId="11" xfId="0" applyFont="1" applyBorder="1"/>
    <xf numFmtId="0" fontId="19" fillId="0" borderId="11" xfId="256" applyFont="1" applyBorder="1"/>
    <xf numFmtId="0" fontId="16" fillId="31" borderId="0" xfId="256" applyFill="1" applyAlignment="1">
      <alignment horizontal="left"/>
    </xf>
    <xf numFmtId="41" fontId="16" fillId="0" borderId="0" xfId="271" applyNumberFormat="1" applyFont="1" applyFill="1" applyBorder="1" applyProtection="1"/>
    <xf numFmtId="186" fontId="16" fillId="0" borderId="0" xfId="88" applyNumberFormat="1" applyFont="1" applyFill="1" applyBorder="1" applyProtection="1"/>
    <xf numFmtId="10" fontId="19" fillId="0" borderId="0" xfId="271" applyNumberFormat="1" applyFont="1" applyFill="1" applyProtection="1"/>
    <xf numFmtId="173" fontId="16" fillId="0" borderId="0" xfId="88" applyNumberFormat="1" applyFont="1" applyFill="1" applyBorder="1" applyProtection="1"/>
    <xf numFmtId="173" fontId="13" fillId="0" borderId="44" xfId="88" applyNumberFormat="1" applyFont="1" applyFill="1" applyBorder="1" applyProtection="1"/>
    <xf numFmtId="0" fontId="95" fillId="0" borderId="0" xfId="256" applyFont="1" applyAlignment="1">
      <alignment horizontal="left"/>
    </xf>
    <xf numFmtId="0" fontId="19" fillId="0" borderId="0" xfId="256" applyFont="1" applyAlignment="1">
      <alignment horizontal="left"/>
    </xf>
    <xf numFmtId="0" fontId="21" fillId="0" borderId="0" xfId="256" applyFont="1" applyAlignment="1">
      <alignment horizontal="left"/>
    </xf>
    <xf numFmtId="0" fontId="21" fillId="0" borderId="0" xfId="256" applyFont="1" applyAlignment="1">
      <alignment horizontal="center" wrapText="1"/>
    </xf>
    <xf numFmtId="164" fontId="12" fillId="32" borderId="0" xfId="271" applyNumberFormat="1" applyFont="1" applyFill="1" applyAlignment="1" applyProtection="1">
      <alignment horizontal="right" wrapText="1"/>
      <protection locked="0"/>
    </xf>
    <xf numFmtId="44" fontId="12" fillId="32" borderId="0" xfId="119" applyFont="1" applyFill="1" applyAlignment="1" applyProtection="1">
      <alignment horizontal="right" wrapText="1"/>
      <protection locked="0"/>
    </xf>
    <xf numFmtId="41" fontId="12" fillId="0" borderId="0" xfId="256" applyNumberFormat="1" applyFont="1"/>
    <xf numFmtId="173" fontId="16" fillId="0" borderId="0" xfId="88" applyNumberFormat="1" applyFill="1" applyProtection="1"/>
    <xf numFmtId="41" fontId="16" fillId="0" borderId="0" xfId="256" applyNumberFormat="1"/>
    <xf numFmtId="41" fontId="96" fillId="0" borderId="0" xfId="256" applyNumberFormat="1" applyFont="1"/>
    <xf numFmtId="41" fontId="16" fillId="0" borderId="12" xfId="256" applyNumberFormat="1" applyBorder="1"/>
    <xf numFmtId="41" fontId="13" fillId="0" borderId="41" xfId="256" applyNumberFormat="1" applyFont="1" applyBorder="1"/>
    <xf numFmtId="3" fontId="0" fillId="0" borderId="0" xfId="0" applyNumberFormat="1"/>
    <xf numFmtId="0" fontId="17" fillId="0" borderId="0" xfId="0" applyFont="1" applyAlignment="1">
      <alignment horizontal="center"/>
    </xf>
    <xf numFmtId="3" fontId="0" fillId="0" borderId="0" xfId="0" applyNumberFormat="1" applyAlignment="1">
      <alignment horizontal="centerContinuous"/>
    </xf>
    <xf numFmtId="3" fontId="17" fillId="0" borderId="0" xfId="0" applyNumberFormat="1" applyFont="1" applyAlignment="1">
      <alignment horizontal="centerContinuous"/>
    </xf>
    <xf numFmtId="3" fontId="0" fillId="0" borderId="45" xfId="0" applyNumberFormat="1" applyBorder="1"/>
    <xf numFmtId="3" fontId="0" fillId="0" borderId="0" xfId="0" applyNumberFormat="1" applyAlignment="1">
      <alignment horizontal="left"/>
    </xf>
    <xf numFmtId="37" fontId="0" fillId="0" borderId="0" xfId="0" applyNumberFormat="1"/>
    <xf numFmtId="37" fontId="0" fillId="0" borderId="0" xfId="0" applyNumberFormat="1" applyAlignment="1">
      <alignment horizontal="center"/>
    </xf>
    <xf numFmtId="37" fontId="0" fillId="0" borderId="45" xfId="0" applyNumberFormat="1" applyBorder="1"/>
    <xf numFmtId="37" fontId="0" fillId="0" borderId="46" xfId="0" applyNumberFormat="1" applyBorder="1"/>
    <xf numFmtId="37" fontId="0" fillId="33" borderId="0" xfId="0" applyNumberFormat="1" applyFill="1"/>
    <xf numFmtId="37" fontId="16" fillId="0" borderId="0" xfId="0" applyNumberFormat="1" applyFont="1"/>
    <xf numFmtId="3" fontId="0" fillId="0" borderId="0" xfId="0" applyNumberFormat="1" applyAlignment="1" applyProtection="1">
      <alignment horizontal="center"/>
      <protection locked="0"/>
    </xf>
    <xf numFmtId="3" fontId="0" fillId="0" borderId="0" xfId="0" applyNumberFormat="1" applyAlignment="1">
      <alignment horizontal="center"/>
    </xf>
    <xf numFmtId="3" fontId="0" fillId="0" borderId="0" xfId="0" applyNumberFormat="1" applyProtection="1">
      <protection locked="0"/>
    </xf>
    <xf numFmtId="37" fontId="0" fillId="0" borderId="14" xfId="0" applyNumberFormat="1" applyBorder="1"/>
    <xf numFmtId="37" fontId="158" fillId="0" borderId="46" xfId="0" applyNumberFormat="1" applyFont="1" applyBorder="1"/>
    <xf numFmtId="37" fontId="158" fillId="0" borderId="0" xfId="0" applyNumberFormat="1" applyFont="1"/>
    <xf numFmtId="187" fontId="16" fillId="0" borderId="0" xfId="253" applyNumberFormat="1" applyFont="1"/>
    <xf numFmtId="3" fontId="16" fillId="0" borderId="0" xfId="0" applyNumberFormat="1" applyFont="1" applyAlignment="1">
      <alignment horizontal="center"/>
    </xf>
    <xf numFmtId="4" fontId="16" fillId="0" borderId="0" xfId="0" applyNumberFormat="1" applyFont="1" applyAlignment="1">
      <alignment horizontal="center"/>
    </xf>
    <xf numFmtId="0" fontId="159" fillId="0" borderId="0" xfId="261" applyNumberFormat="1" applyFont="1" applyAlignment="1" applyProtection="1">
      <alignment horizontal="center"/>
    </xf>
    <xf numFmtId="172" fontId="160" fillId="0" borderId="0" xfId="261" applyFont="1" applyProtection="1"/>
    <xf numFmtId="199" fontId="12" fillId="32" borderId="0" xfId="253" applyNumberFormat="1" applyFont="1" applyFill="1" applyProtection="1">
      <protection locked="0"/>
    </xf>
    <xf numFmtId="0" fontId="161" fillId="0" borderId="0" xfId="0" applyFont="1" applyAlignment="1">
      <alignment horizontal="left"/>
    </xf>
    <xf numFmtId="10" fontId="75" fillId="32" borderId="0" xfId="270" applyNumberFormat="1" applyFont="1" applyFill="1" applyAlignment="1" applyProtection="1">
      <alignment horizontal="center"/>
      <protection locked="0"/>
    </xf>
    <xf numFmtId="10" fontId="75" fillId="32" borderId="0" xfId="262" applyNumberFormat="1" applyFont="1" applyFill="1" applyAlignment="1" applyProtection="1">
      <alignment horizontal="center"/>
      <protection locked="0"/>
    </xf>
    <xf numFmtId="173" fontId="22" fillId="0" borderId="0" xfId="262" applyNumberFormat="1" applyFont="1"/>
    <xf numFmtId="0" fontId="22" fillId="0" borderId="0" xfId="262" applyFont="1" applyAlignment="1">
      <alignment horizontal="center" vertical="center"/>
    </xf>
    <xf numFmtId="0" fontId="22" fillId="0" borderId="0" xfId="262" applyFont="1" applyAlignment="1">
      <alignment vertical="center"/>
    </xf>
    <xf numFmtId="0" fontId="162" fillId="0" borderId="0" xfId="262" applyFont="1" applyAlignment="1">
      <alignment horizontal="right"/>
    </xf>
    <xf numFmtId="173" fontId="162" fillId="0" borderId="0" xfId="262" applyNumberFormat="1" applyFont="1"/>
    <xf numFmtId="0" fontId="22" fillId="0" borderId="0" xfId="262" applyFont="1" applyAlignment="1">
      <alignment horizontal="left" indent="2"/>
    </xf>
    <xf numFmtId="0" fontId="137" fillId="0" borderId="0" xfId="262" applyFont="1" applyAlignment="1">
      <alignment horizontal="center"/>
    </xf>
    <xf numFmtId="0" fontId="137" fillId="0" borderId="0" xfId="262" applyFont="1"/>
    <xf numFmtId="0" fontId="9" fillId="0" borderId="0" xfId="261" applyNumberFormat="1" applyFont="1" applyAlignment="1" applyProtection="1">
      <alignment horizontal="left" wrapText="1"/>
    </xf>
    <xf numFmtId="0" fontId="163" fillId="0" borderId="11" xfId="262" applyFont="1" applyBorder="1" applyAlignment="1">
      <alignment horizontal="center"/>
    </xf>
    <xf numFmtId="0" fontId="163" fillId="0" borderId="2" xfId="262" applyFont="1" applyBorder="1" applyAlignment="1">
      <alignment horizontal="center"/>
    </xf>
    <xf numFmtId="0" fontId="22" fillId="0" borderId="11" xfId="262" applyFont="1" applyBorder="1" applyAlignment="1">
      <alignment horizontal="center"/>
    </xf>
    <xf numFmtId="0" fontId="22" fillId="0" borderId="11" xfId="262" applyFont="1" applyBorder="1"/>
    <xf numFmtId="173" fontId="81" fillId="0" borderId="11" xfId="262" applyNumberFormat="1" applyFont="1" applyBorder="1" applyProtection="1">
      <protection locked="0"/>
    </xf>
    <xf numFmtId="173" fontId="75" fillId="0" borderId="11" xfId="262" applyNumberFormat="1" applyFont="1" applyBorder="1"/>
    <xf numFmtId="0" fontId="75" fillId="0" borderId="11" xfId="262" applyFont="1" applyBorder="1" applyAlignment="1" applyProtection="1">
      <alignment horizontal="center"/>
      <protection locked="0"/>
    </xf>
    <xf numFmtId="173" fontId="75" fillId="0" borderId="11" xfId="86" applyNumberFormat="1" applyFont="1" applyFill="1" applyBorder="1" applyAlignment="1" applyProtection="1">
      <alignment horizontal="center"/>
      <protection locked="0"/>
    </xf>
    <xf numFmtId="0" fontId="138" fillId="0" borderId="0" xfId="261" applyNumberFormat="1" applyFont="1" applyAlignment="1" applyProtection="1">
      <alignment horizontal="center"/>
    </xf>
    <xf numFmtId="172" fontId="159" fillId="0" borderId="0" xfId="261" applyFont="1" applyProtection="1"/>
    <xf numFmtId="0" fontId="12" fillId="32" borderId="0" xfId="89" applyNumberFormat="1" applyFont="1" applyFill="1" applyBorder="1" applyAlignment="1" applyProtection="1">
      <alignment horizontal="center"/>
      <protection locked="0"/>
    </xf>
    <xf numFmtId="3" fontId="10" fillId="0" borderId="0" xfId="261" applyNumberFormat="1" applyFont="1" applyAlignment="1" applyProtection="1">
      <alignment horizontal="center" vertical="center"/>
    </xf>
    <xf numFmtId="3" fontId="18" fillId="0" borderId="0" xfId="261" applyNumberFormat="1" applyFont="1" applyAlignment="1" applyProtection="1">
      <alignment horizontal="center"/>
    </xf>
    <xf numFmtId="41" fontId="9" fillId="0" borderId="40" xfId="261" applyNumberFormat="1" applyFont="1" applyBorder="1" applyProtection="1"/>
    <xf numFmtId="0" fontId="67" fillId="0" borderId="0" xfId="0" applyFont="1"/>
    <xf numFmtId="3" fontId="13" fillId="0" borderId="0" xfId="0" applyNumberFormat="1" applyFont="1" applyAlignment="1">
      <alignment horizontal="left"/>
    </xf>
    <xf numFmtId="0" fontId="16" fillId="0" borderId="0" xfId="0" applyFont="1" applyAlignment="1">
      <alignment horizontal="left"/>
    </xf>
    <xf numFmtId="0" fontId="17" fillId="0" borderId="0" xfId="0" applyFont="1" applyAlignment="1">
      <alignment horizontal="left"/>
    </xf>
    <xf numFmtId="0" fontId="16" fillId="0" borderId="0" xfId="0" applyFont="1" applyAlignment="1">
      <alignment vertical="top"/>
    </xf>
    <xf numFmtId="0" fontId="107" fillId="0" borderId="0" xfId="0" applyFont="1" applyAlignment="1">
      <alignment horizontal="center"/>
    </xf>
    <xf numFmtId="0" fontId="16" fillId="0" borderId="0" xfId="265" applyFont="1" applyAlignment="1">
      <alignment horizontal="center"/>
    </xf>
    <xf numFmtId="38" fontId="12" fillId="0" borderId="0" xfId="0" applyNumberFormat="1" applyFont="1" applyProtection="1">
      <protection locked="0"/>
    </xf>
    <xf numFmtId="0" fontId="10" fillId="0" borderId="0" xfId="254" applyFont="1"/>
    <xf numFmtId="0" fontId="77" fillId="0" borderId="0" xfId="262" applyFont="1" applyAlignment="1">
      <alignment vertical="center" wrapText="1"/>
    </xf>
    <xf numFmtId="0" fontId="10" fillId="0" borderId="0" xfId="253" quotePrefix="1" applyFont="1" applyAlignment="1">
      <alignment horizontal="center"/>
    </xf>
    <xf numFmtId="0" fontId="8" fillId="0" borderId="11" xfId="262" applyFont="1" applyBorder="1" applyAlignment="1">
      <alignment horizontal="center" wrapText="1"/>
    </xf>
    <xf numFmtId="0" fontId="8" fillId="0" borderId="11" xfId="262" applyFont="1" applyBorder="1" applyAlignment="1">
      <alignment horizontal="center" vertical="center"/>
    </xf>
    <xf numFmtId="185" fontId="8" fillId="0" borderId="11" xfId="262" applyNumberFormat="1" applyFont="1" applyBorder="1" applyAlignment="1">
      <alignment horizontal="center" vertical="center" wrapText="1"/>
    </xf>
    <xf numFmtId="0" fontId="8" fillId="0" borderId="11" xfId="262" applyFont="1" applyBorder="1" applyAlignment="1">
      <alignment horizontal="center" vertical="center" wrapText="1"/>
    </xf>
    <xf numFmtId="185" fontId="8" fillId="0" borderId="11" xfId="262" applyNumberFormat="1" applyFont="1" applyBorder="1" applyAlignment="1">
      <alignment horizontal="center" vertical="center"/>
    </xf>
    <xf numFmtId="0" fontId="16" fillId="0" borderId="0" xfId="0" applyFont="1" applyAlignment="1">
      <alignment vertical="center"/>
    </xf>
    <xf numFmtId="173" fontId="8" fillId="0" borderId="11" xfId="262" applyNumberFormat="1" applyFont="1" applyBorder="1" applyAlignment="1">
      <alignment vertical="center"/>
    </xf>
    <xf numFmtId="173" fontId="78" fillId="0" borderId="0" xfId="262" applyNumberFormat="1" applyFont="1" applyAlignment="1">
      <alignment vertical="center"/>
    </xf>
    <xf numFmtId="0" fontId="8" fillId="0" borderId="0" xfId="262" applyFont="1" applyAlignment="1">
      <alignment horizontal="right" vertical="center"/>
    </xf>
    <xf numFmtId="0" fontId="75" fillId="0" borderId="0" xfId="262" applyFont="1" applyAlignment="1">
      <alignment wrapText="1"/>
    </xf>
    <xf numFmtId="0" fontId="16" fillId="0" borderId="0" xfId="257" applyFont="1" applyAlignment="1">
      <alignment horizontal="left"/>
    </xf>
    <xf numFmtId="0" fontId="16" fillId="0" borderId="0" xfId="186" applyAlignment="1">
      <alignment wrapText="1"/>
    </xf>
    <xf numFmtId="173" fontId="75" fillId="0" borderId="0" xfId="86" applyNumberFormat="1" applyFont="1" applyFill="1" applyAlignment="1" applyProtection="1">
      <alignment horizontal="center"/>
      <protection locked="0"/>
    </xf>
    <xf numFmtId="0" fontId="16" fillId="0" borderId="0" xfId="168"/>
    <xf numFmtId="0" fontId="110" fillId="0" borderId="0" xfId="263" applyFont="1" applyProtection="1">
      <protection locked="0"/>
    </xf>
    <xf numFmtId="0" fontId="80" fillId="0" borderId="0" xfId="263" applyFont="1"/>
    <xf numFmtId="0" fontId="112" fillId="0" borderId="0" xfId="263" applyFont="1" applyProtection="1">
      <protection locked="0"/>
    </xf>
    <xf numFmtId="0" fontId="113" fillId="0" borderId="0" xfId="263" applyFont="1" applyProtection="1">
      <protection locked="0"/>
    </xf>
    <xf numFmtId="176" fontId="110" fillId="0" borderId="0" xfId="263" applyNumberFormat="1" applyFont="1" applyProtection="1">
      <protection locked="0"/>
    </xf>
    <xf numFmtId="0" fontId="110" fillId="0" borderId="16" xfId="263" applyFont="1" applyBorder="1" applyProtection="1">
      <protection locked="0"/>
    </xf>
    <xf numFmtId="0" fontId="115" fillId="0" borderId="0" xfId="263" applyFont="1" applyProtection="1">
      <protection locked="0"/>
    </xf>
    <xf numFmtId="0" fontId="116" fillId="0" borderId="0" xfId="263" applyFont="1"/>
    <xf numFmtId="0" fontId="117" fillId="0" borderId="0" xfId="263" applyFont="1"/>
    <xf numFmtId="0" fontId="140" fillId="0" borderId="0" xfId="263" applyFont="1" applyAlignment="1">
      <alignment horizontal="center"/>
    </xf>
    <xf numFmtId="0" fontId="16" fillId="0" borderId="0" xfId="168" applyAlignment="1">
      <alignment wrapText="1"/>
    </xf>
    <xf numFmtId="10" fontId="7" fillId="0" borderId="0" xfId="263" applyNumberFormat="1" applyAlignment="1">
      <alignment horizontal="center"/>
    </xf>
    <xf numFmtId="0" fontId="114" fillId="0" borderId="0" xfId="263" applyFont="1"/>
    <xf numFmtId="0" fontId="7" fillId="0" borderId="0" xfId="263" applyAlignment="1">
      <alignment horizontal="center"/>
    </xf>
    <xf numFmtId="10" fontId="7" fillId="0" borderId="0" xfId="263" applyNumberFormat="1" applyAlignment="1">
      <alignment horizontal="right"/>
    </xf>
    <xf numFmtId="195" fontId="80" fillId="0" borderId="0" xfId="263" applyNumberFormat="1" applyFont="1"/>
    <xf numFmtId="10" fontId="80" fillId="0" borderId="0" xfId="263" applyNumberFormat="1" applyFont="1"/>
    <xf numFmtId="0" fontId="114" fillId="0" borderId="30" xfId="263" applyFont="1" applyBorder="1"/>
    <xf numFmtId="0" fontId="110" fillId="0" borderId="30" xfId="263" applyFont="1" applyBorder="1" applyProtection="1">
      <protection locked="0"/>
    </xf>
    <xf numFmtId="10" fontId="7" fillId="0" borderId="30" xfId="263" applyNumberFormat="1" applyBorder="1"/>
    <xf numFmtId="0" fontId="9" fillId="0" borderId="0" xfId="0" applyFont="1" applyAlignment="1">
      <alignment horizontal="left" indent="1"/>
    </xf>
    <xf numFmtId="10" fontId="9" fillId="0" borderId="0" xfId="217" applyNumberFormat="1" applyFont="1" applyAlignment="1">
      <alignment horizontal="center"/>
    </xf>
    <xf numFmtId="0" fontId="10" fillId="0" borderId="0" xfId="186" applyFont="1" applyAlignment="1">
      <alignment horizontal="right"/>
    </xf>
    <xf numFmtId="10" fontId="9" fillId="0" borderId="0" xfId="217" applyNumberFormat="1" applyFont="1" applyAlignment="1">
      <alignment horizontal="right"/>
    </xf>
    <xf numFmtId="177" fontId="9" fillId="0" borderId="0" xfId="86" applyNumberFormat="1" applyFont="1" applyAlignment="1">
      <alignment horizontal="center"/>
    </xf>
    <xf numFmtId="0" fontId="16" fillId="0" borderId="32" xfId="0" applyFont="1" applyBorder="1" applyAlignment="1">
      <alignment horizontal="center"/>
    </xf>
    <xf numFmtId="0" fontId="16" fillId="0" borderId="31" xfId="264" applyBorder="1" applyAlignment="1">
      <alignment horizontal="right"/>
    </xf>
    <xf numFmtId="0" fontId="142" fillId="0" borderId="0" xfId="0" applyFont="1" applyAlignment="1">
      <alignment vertical="center"/>
    </xf>
    <xf numFmtId="0" fontId="143" fillId="0" borderId="0" xfId="0" applyFont="1"/>
    <xf numFmtId="0" fontId="138" fillId="0" borderId="0" xfId="0" applyFont="1"/>
    <xf numFmtId="0" fontId="138" fillId="0" borderId="0" xfId="0" applyFont="1" applyAlignment="1">
      <alignment horizontal="left"/>
    </xf>
    <xf numFmtId="0" fontId="138" fillId="0" borderId="0" xfId="214" applyFont="1" applyAlignment="1">
      <alignment horizontal="center"/>
    </xf>
    <xf numFmtId="0" fontId="143" fillId="0" borderId="0" xfId="0" applyFont="1" applyAlignment="1">
      <alignment horizontal="center"/>
    </xf>
    <xf numFmtId="0" fontId="144" fillId="0" borderId="0" xfId="214" applyFont="1"/>
    <xf numFmtId="0" fontId="138" fillId="0" borderId="0" xfId="214" applyFont="1" applyAlignment="1">
      <alignment horizontal="left"/>
    </xf>
    <xf numFmtId="0" fontId="138" fillId="0" borderId="0" xfId="214" applyFont="1"/>
    <xf numFmtId="3" fontId="138" fillId="0" borderId="0" xfId="0" applyNumberFormat="1" applyFont="1"/>
    <xf numFmtId="3" fontId="138" fillId="0" borderId="0" xfId="0" applyNumberFormat="1" applyFont="1" applyAlignment="1">
      <alignment horizontal="left"/>
    </xf>
    <xf numFmtId="0" fontId="145" fillId="0" borderId="0" xfId="0" applyFont="1" applyAlignment="1">
      <alignment horizontal="center"/>
    </xf>
    <xf numFmtId="0" fontId="146" fillId="0" borderId="0" xfId="0" applyFont="1"/>
    <xf numFmtId="0" fontId="145" fillId="0" borderId="0" xfId="0" applyFont="1" applyAlignment="1">
      <alignment wrapText="1"/>
    </xf>
    <xf numFmtId="0" fontId="145" fillId="0" borderId="0" xfId="0" applyFont="1"/>
    <xf numFmtId="41" fontId="143" fillId="0" borderId="0" xfId="0" applyNumberFormat="1" applyFont="1"/>
    <xf numFmtId="41" fontId="146" fillId="0" borderId="0" xfId="0" applyNumberFormat="1" applyFont="1"/>
    <xf numFmtId="0" fontId="147" fillId="0" borderId="0" xfId="0" applyFont="1" applyAlignment="1">
      <alignment horizontal="center"/>
    </xf>
    <xf numFmtId="0" fontId="148" fillId="0" borderId="0" xfId="0" applyFont="1" applyAlignment="1">
      <alignment horizontal="center"/>
    </xf>
    <xf numFmtId="0" fontId="149" fillId="0" borderId="0" xfId="0" applyFont="1" applyAlignment="1">
      <alignment horizontal="center"/>
    </xf>
    <xf numFmtId="173" fontId="143" fillId="0" borderId="0" xfId="0" applyNumberFormat="1" applyFont="1"/>
    <xf numFmtId="0" fontId="143" fillId="0" borderId="0" xfId="0" applyFont="1" applyAlignment="1">
      <alignment wrapText="1"/>
    </xf>
    <xf numFmtId="0" fontId="143" fillId="0" borderId="11" xfId="0" applyFont="1" applyBorder="1"/>
    <xf numFmtId="0" fontId="146" fillId="0" borderId="11" xfId="0" applyFont="1" applyBorder="1"/>
    <xf numFmtId="0" fontId="146" fillId="0" borderId="0" xfId="0" applyFont="1" applyAlignment="1">
      <alignment horizontal="center"/>
    </xf>
    <xf numFmtId="191" fontId="146" fillId="0" borderId="0" xfId="112" applyNumberFormat="1" applyFont="1" applyAlignment="1">
      <alignment horizontal="center"/>
    </xf>
    <xf numFmtId="173" fontId="143" fillId="0" borderId="14" xfId="0" applyNumberFormat="1" applyFont="1" applyBorder="1"/>
    <xf numFmtId="173" fontId="146" fillId="0" borderId="14" xfId="0" applyNumberFormat="1" applyFont="1" applyBorder="1"/>
    <xf numFmtId="41" fontId="143" fillId="0" borderId="14" xfId="0" applyNumberFormat="1" applyFont="1" applyBorder="1"/>
    <xf numFmtId="43" fontId="146" fillId="0" borderId="0" xfId="0" applyNumberFormat="1" applyFont="1"/>
    <xf numFmtId="0" fontId="146" fillId="0" borderId="0" xfId="0" applyFont="1" applyAlignment="1">
      <alignment wrapText="1"/>
    </xf>
    <xf numFmtId="0" fontId="151" fillId="0" borderId="0" xfId="0" applyFont="1" applyAlignment="1">
      <alignment horizontal="center" wrapText="1"/>
    </xf>
    <xf numFmtId="173" fontId="143" fillId="0" borderId="0" xfId="0" applyNumberFormat="1" applyFont="1" applyAlignment="1">
      <alignment wrapText="1"/>
    </xf>
    <xf numFmtId="0" fontId="145" fillId="0" borderId="0" xfId="0" applyFont="1" applyAlignment="1">
      <alignment horizontal="center" wrapText="1"/>
    </xf>
    <xf numFmtId="43" fontId="145" fillId="0" borderId="0" xfId="112" applyFont="1" applyAlignment="1">
      <alignment horizontal="center" wrapText="1"/>
    </xf>
    <xf numFmtId="173" fontId="143" fillId="0" borderId="0" xfId="112" applyNumberFormat="1" applyFont="1"/>
    <xf numFmtId="173" fontId="145" fillId="0" borderId="0" xfId="112" applyNumberFormat="1" applyFont="1" applyAlignment="1">
      <alignment horizontal="center" wrapText="1"/>
    </xf>
    <xf numFmtId="173" fontId="145" fillId="0" borderId="0" xfId="112" applyNumberFormat="1" applyFont="1"/>
    <xf numFmtId="173" fontId="145" fillId="0" borderId="0" xfId="112" applyNumberFormat="1" applyFont="1" applyAlignment="1">
      <alignment horizontal="center"/>
    </xf>
    <xf numFmtId="10" fontId="143" fillId="0" borderId="0" xfId="292" applyNumberFormat="1" applyFont="1"/>
    <xf numFmtId="173" fontId="143" fillId="0" borderId="11" xfId="0" applyNumberFormat="1" applyFont="1" applyBorder="1"/>
    <xf numFmtId="173" fontId="143" fillId="0" borderId="11" xfId="112" applyNumberFormat="1" applyFont="1" applyBorder="1"/>
    <xf numFmtId="0" fontId="9" fillId="0" borderId="0" xfId="261" applyNumberFormat="1" applyFont="1" applyAlignment="1" applyProtection="1">
      <alignment horizontal="left" indent="4"/>
    </xf>
    <xf numFmtId="41" fontId="23" fillId="0" borderId="0" xfId="261" applyNumberFormat="1" applyFont="1" applyProtection="1">
      <protection locked="0"/>
    </xf>
    <xf numFmtId="0" fontId="16" fillId="32" borderId="0" xfId="214" applyFill="1" applyProtection="1">
      <protection locked="0"/>
    </xf>
    <xf numFmtId="173" fontId="126" fillId="32" borderId="0" xfId="88" applyNumberFormat="1" applyFont="1" applyFill="1" applyProtection="1">
      <protection locked="0"/>
    </xf>
    <xf numFmtId="1" fontId="67" fillId="32" borderId="0" xfId="0" quotePrefix="1" applyNumberFormat="1" applyFont="1" applyFill="1" applyAlignment="1" applyProtection="1">
      <alignment horizontal="left"/>
      <protection locked="0"/>
    </xf>
    <xf numFmtId="0" fontId="23" fillId="32" borderId="0" xfId="255" applyFont="1" applyFill="1" applyAlignment="1" applyProtection="1">
      <alignment horizontal="center"/>
      <protection locked="0"/>
    </xf>
    <xf numFmtId="41" fontId="23" fillId="32" borderId="0" xfId="255" applyNumberFormat="1" applyFont="1" applyFill="1" applyProtection="1">
      <protection locked="0"/>
    </xf>
    <xf numFmtId="41" fontId="23" fillId="32" borderId="6" xfId="253" applyNumberFormat="1" applyFont="1" applyFill="1" applyBorder="1" applyProtection="1">
      <protection locked="0"/>
    </xf>
    <xf numFmtId="41" fontId="31" fillId="0" borderId="6" xfId="253" applyNumberFormat="1" applyFont="1" applyBorder="1"/>
    <xf numFmtId="41" fontId="30" fillId="0" borderId="6" xfId="253" applyNumberFormat="1" applyFont="1" applyBorder="1"/>
    <xf numFmtId="173" fontId="16" fillId="0" borderId="0" xfId="88" applyNumberFormat="1" applyFont="1" applyProtection="1"/>
    <xf numFmtId="173" fontId="16" fillId="0" borderId="0" xfId="88" applyNumberFormat="1" applyFont="1" applyBorder="1" applyProtection="1"/>
    <xf numFmtId="0" fontId="23" fillId="32" borderId="0" xfId="88" applyNumberFormat="1" applyFont="1" applyFill="1" applyAlignment="1" applyProtection="1">
      <alignment horizontal="left"/>
      <protection locked="0"/>
    </xf>
    <xf numFmtId="173" fontId="13" fillId="0" borderId="25" xfId="88" applyNumberFormat="1" applyFont="1" applyBorder="1" applyProtection="1"/>
    <xf numFmtId="0" fontId="9" fillId="0" borderId="0" xfId="88" applyNumberFormat="1" applyFont="1" applyFill="1" applyAlignment="1" applyProtection="1">
      <alignment horizontal="left"/>
    </xf>
    <xf numFmtId="0" fontId="9" fillId="0" borderId="0" xfId="88" applyNumberFormat="1" applyFont="1" applyFill="1" applyBorder="1" applyAlignment="1" applyProtection="1">
      <alignment horizontal="left"/>
    </xf>
    <xf numFmtId="0" fontId="10" fillId="0" borderId="0" xfId="88" applyNumberFormat="1" applyFont="1" applyFill="1" applyBorder="1" applyAlignment="1" applyProtection="1">
      <alignment horizontal="left"/>
    </xf>
    <xf numFmtId="173" fontId="13" fillId="0" borderId="29" xfId="88" applyNumberFormat="1" applyFont="1" applyBorder="1" applyProtection="1"/>
    <xf numFmtId="173" fontId="13" fillId="0" borderId="19" xfId="88" applyNumberFormat="1" applyFont="1" applyBorder="1" applyProtection="1"/>
    <xf numFmtId="173" fontId="16" fillId="0" borderId="6" xfId="88" applyNumberFormat="1" applyFont="1" applyBorder="1" applyProtection="1"/>
    <xf numFmtId="173" fontId="16" fillId="0" borderId="20" xfId="88" applyNumberFormat="1" applyFont="1" applyBorder="1" applyProtection="1"/>
    <xf numFmtId="173" fontId="156" fillId="32" borderId="18" xfId="88" applyNumberFormat="1" applyFont="1" applyFill="1" applyBorder="1" applyAlignment="1" applyProtection="1">
      <alignment horizontal="right"/>
      <protection locked="0"/>
    </xf>
    <xf numFmtId="173" fontId="13" fillId="0" borderId="0" xfId="88" applyNumberFormat="1" applyFont="1" applyBorder="1" applyAlignment="1" applyProtection="1">
      <alignment horizontal="center" wrapText="1"/>
    </xf>
    <xf numFmtId="173" fontId="13" fillId="0" borderId="26" xfId="88" applyNumberFormat="1" applyFont="1" applyBorder="1" applyAlignment="1" applyProtection="1">
      <alignment horizontal="center" wrapText="1"/>
    </xf>
    <xf numFmtId="173" fontId="13" fillId="0" borderId="25" xfId="88" applyNumberFormat="1" applyFont="1" applyBorder="1" applyAlignment="1" applyProtection="1">
      <alignment horizontal="center" wrapText="1"/>
    </xf>
    <xf numFmtId="173" fontId="13" fillId="29" borderId="26" xfId="88" applyNumberFormat="1" applyFont="1" applyFill="1" applyBorder="1" applyAlignment="1" applyProtection="1">
      <alignment horizontal="center" wrapText="1"/>
    </xf>
    <xf numFmtId="173" fontId="13" fillId="0" borderId="28" xfId="88" applyNumberFormat="1" applyFont="1" applyBorder="1" applyAlignment="1" applyProtection="1">
      <alignment horizontal="center"/>
    </xf>
    <xf numFmtId="173" fontId="13" fillId="0" borderId="20" xfId="88" applyNumberFormat="1" applyFont="1" applyBorder="1" applyAlignment="1" applyProtection="1">
      <alignment horizontal="center"/>
    </xf>
    <xf numFmtId="173" fontId="13" fillId="29" borderId="28" xfId="88" applyNumberFormat="1" applyFont="1" applyFill="1" applyBorder="1" applyAlignment="1" applyProtection="1">
      <alignment horizontal="center"/>
    </xf>
    <xf numFmtId="173" fontId="16" fillId="0" borderId="27" xfId="88" applyNumberFormat="1" applyFont="1" applyBorder="1" applyProtection="1"/>
    <xf numFmtId="173" fontId="16" fillId="0" borderId="27" xfId="96" applyNumberFormat="1" applyFont="1" applyFill="1" applyBorder="1" applyProtection="1"/>
    <xf numFmtId="173" fontId="16" fillId="0" borderId="18" xfId="96" applyNumberFormat="1" applyFont="1" applyFill="1" applyBorder="1" applyProtection="1"/>
    <xf numFmtId="173" fontId="16" fillId="0" borderId="18" xfId="88" applyNumberFormat="1" applyFont="1" applyBorder="1" applyProtection="1"/>
    <xf numFmtId="174" fontId="156" fillId="32" borderId="27" xfId="0" applyNumberFormat="1" applyFont="1" applyFill="1" applyBorder="1" applyProtection="1">
      <protection locked="0"/>
    </xf>
    <xf numFmtId="0" fontId="16" fillId="33" borderId="27" xfId="0" applyFont="1" applyFill="1" applyBorder="1" applyAlignment="1">
      <alignment horizontal="center"/>
    </xf>
    <xf numFmtId="173" fontId="16" fillId="31" borderId="0" xfId="0" applyNumberFormat="1" applyFont="1" applyFill="1"/>
    <xf numFmtId="173" fontId="16" fillId="31" borderId="27" xfId="0" applyNumberFormat="1" applyFont="1" applyFill="1" applyBorder="1"/>
    <xf numFmtId="173" fontId="16" fillId="31" borderId="27" xfId="88" applyNumberFormat="1" applyFont="1" applyFill="1" applyBorder="1" applyProtection="1"/>
    <xf numFmtId="173" fontId="16" fillId="31" borderId="18" xfId="88" applyNumberFormat="1" applyFont="1" applyFill="1" applyBorder="1" applyProtection="1"/>
    <xf numFmtId="174" fontId="16" fillId="31" borderId="27" xfId="0" applyNumberFormat="1" applyFont="1" applyFill="1" applyBorder="1"/>
    <xf numFmtId="173" fontId="16" fillId="0" borderId="27" xfId="88" applyNumberFormat="1" applyFont="1" applyFill="1" applyBorder="1" applyProtection="1"/>
    <xf numFmtId="173" fontId="16" fillId="0" borderId="28" xfId="88" applyNumberFormat="1" applyFont="1" applyBorder="1" applyProtection="1"/>
    <xf numFmtId="173" fontId="16" fillId="33" borderId="0" xfId="0" applyNumberFormat="1" applyFont="1" applyFill="1"/>
    <xf numFmtId="173" fontId="16" fillId="0" borderId="26" xfId="88" applyNumberFormat="1" applyFont="1" applyBorder="1" applyProtection="1"/>
    <xf numFmtId="43" fontId="6" fillId="32" borderId="6" xfId="261" applyNumberFormat="1" applyFont="1" applyFill="1" applyBorder="1" applyAlignment="1" applyProtection="1">
      <alignment horizontal="center"/>
      <protection locked="0"/>
    </xf>
    <xf numFmtId="173" fontId="150" fillId="32" borderId="0" xfId="113" applyNumberFormat="1" applyFont="1" applyFill="1" applyProtection="1">
      <protection locked="0"/>
    </xf>
    <xf numFmtId="10" fontId="9" fillId="33" borderId="0" xfId="261" applyNumberFormat="1" applyFont="1" applyFill="1" applyProtection="1"/>
    <xf numFmtId="173" fontId="16" fillId="0" borderId="47" xfId="0" applyNumberFormat="1" applyFont="1" applyBorder="1"/>
    <xf numFmtId="173" fontId="16" fillId="0" borderId="10" xfId="0" applyNumberFormat="1" applyFont="1" applyBorder="1"/>
    <xf numFmtId="173" fontId="16" fillId="0" borderId="48" xfId="0" applyNumberFormat="1" applyFont="1" applyBorder="1"/>
    <xf numFmtId="9" fontId="9" fillId="0" borderId="0" xfId="0" applyNumberFormat="1" applyFont="1"/>
    <xf numFmtId="0" fontId="6" fillId="0" borderId="0" xfId="214" applyFont="1"/>
    <xf numFmtId="173" fontId="6" fillId="0" borderId="0" xfId="86" applyNumberFormat="1" applyFont="1" applyFill="1"/>
    <xf numFmtId="0" fontId="0" fillId="31" borderId="0" xfId="0" applyFill="1"/>
    <xf numFmtId="173" fontId="156" fillId="31" borderId="18" xfId="88" applyNumberFormat="1" applyFont="1" applyFill="1" applyBorder="1" applyAlignment="1" applyProtection="1">
      <alignment horizontal="right"/>
      <protection locked="0"/>
    </xf>
    <xf numFmtId="0" fontId="0" fillId="31" borderId="0" xfId="0" applyFill="1" applyAlignment="1">
      <alignment wrapText="1"/>
    </xf>
    <xf numFmtId="0" fontId="81" fillId="32" borderId="0" xfId="262" applyFont="1" applyFill="1" applyAlignment="1" applyProtection="1">
      <alignment horizontal="center"/>
      <protection locked="0"/>
    </xf>
    <xf numFmtId="0" fontId="83" fillId="0" borderId="0" xfId="262" applyFont="1"/>
    <xf numFmtId="173" fontId="164" fillId="0" borderId="0" xfId="262" applyNumberFormat="1" applyFont="1"/>
    <xf numFmtId="173" fontId="165" fillId="0" borderId="0" xfId="262" applyNumberFormat="1" applyFont="1"/>
    <xf numFmtId="39" fontId="22" fillId="0" borderId="0" xfId="259" applyNumberFormat="1" applyFont="1"/>
    <xf numFmtId="173" fontId="22" fillId="0" borderId="14" xfId="86" applyNumberFormat="1" applyFont="1" applyBorder="1"/>
    <xf numFmtId="43" fontId="22" fillId="0" borderId="0" xfId="86" applyFont="1"/>
    <xf numFmtId="0" fontId="166" fillId="0" borderId="0" xfId="262" applyFont="1" applyAlignment="1">
      <alignment horizontal="center"/>
    </xf>
    <xf numFmtId="0" fontId="6" fillId="0" borderId="0" xfId="262" applyFont="1"/>
    <xf numFmtId="0" fontId="167" fillId="0" borderId="0" xfId="262" applyFont="1"/>
    <xf numFmtId="41" fontId="167" fillId="0" borderId="0" xfId="262" applyNumberFormat="1" applyFont="1"/>
    <xf numFmtId="41" fontId="22" fillId="0" borderId="0" xfId="262" applyNumberFormat="1" applyFont="1"/>
    <xf numFmtId="10" fontId="22" fillId="0" borderId="0" xfId="270" applyNumberFormat="1" applyFont="1" applyFill="1"/>
    <xf numFmtId="164" fontId="22" fillId="0" borderId="0" xfId="270" applyNumberFormat="1" applyFont="1" applyFill="1"/>
    <xf numFmtId="10" fontId="76" fillId="32" borderId="11" xfId="270" applyNumberFormat="1" applyFont="1" applyFill="1" applyBorder="1" applyProtection="1">
      <protection locked="0"/>
    </xf>
    <xf numFmtId="10" fontId="6" fillId="0" borderId="0" xfId="270" applyNumberFormat="1" applyFont="1" applyFill="1"/>
    <xf numFmtId="41" fontId="168" fillId="26" borderId="0" xfId="262" applyNumberFormat="1" applyFont="1" applyFill="1"/>
    <xf numFmtId="0" fontId="169" fillId="0" borderId="0" xfId="262" applyFont="1"/>
    <xf numFmtId="10" fontId="22" fillId="0" borderId="11" xfId="270" applyNumberFormat="1" applyFont="1" applyFill="1" applyBorder="1"/>
    <xf numFmtId="173" fontId="22" fillId="0" borderId="0" xfId="86" applyNumberFormat="1" applyFont="1" applyFill="1"/>
    <xf numFmtId="10" fontId="22" fillId="0" borderId="0" xfId="270" applyNumberFormat="1" applyFont="1" applyFill="1" applyBorder="1"/>
    <xf numFmtId="9" fontId="22" fillId="0" borderId="0" xfId="270" applyFont="1" applyFill="1"/>
    <xf numFmtId="41" fontId="22" fillId="31" borderId="0" xfId="262" applyNumberFormat="1" applyFont="1" applyFill="1"/>
    <xf numFmtId="0" fontId="22" fillId="31" borderId="0" xfId="262" applyFont="1" applyFill="1"/>
    <xf numFmtId="10" fontId="22" fillId="31" borderId="0" xfId="270" applyNumberFormat="1" applyFont="1" applyFill="1" applyBorder="1"/>
    <xf numFmtId="10" fontId="22" fillId="31" borderId="0" xfId="270" applyNumberFormat="1" applyFont="1" applyFill="1"/>
    <xf numFmtId="173" fontId="22" fillId="0" borderId="0" xfId="86" applyNumberFormat="1" applyFont="1" applyFill="1" applyBorder="1"/>
    <xf numFmtId="0" fontId="80" fillId="0" borderId="30" xfId="263" applyFont="1" applyBorder="1" applyAlignment="1">
      <alignment horizontal="center"/>
    </xf>
    <xf numFmtId="0" fontId="114" fillId="0" borderId="16" xfId="0" applyFont="1" applyBorder="1"/>
    <xf numFmtId="0" fontId="110" fillId="0" borderId="16" xfId="0" applyFont="1" applyBorder="1" applyProtection="1">
      <protection locked="0"/>
    </xf>
    <xf numFmtId="193" fontId="0" fillId="0" borderId="16" xfId="0" applyNumberFormat="1" applyBorder="1"/>
    <xf numFmtId="176" fontId="0" fillId="0" borderId="16" xfId="0" applyNumberFormat="1" applyBorder="1"/>
    <xf numFmtId="176" fontId="0" fillId="0" borderId="16" xfId="0" applyNumberFormat="1" applyBorder="1" applyAlignment="1">
      <alignment horizontal="center"/>
    </xf>
    <xf numFmtId="0" fontId="114" fillId="0" borderId="30" xfId="0" applyFont="1" applyBorder="1"/>
    <xf numFmtId="0" fontId="110" fillId="0" borderId="30" xfId="0" applyFont="1" applyBorder="1" applyProtection="1">
      <protection locked="0"/>
    </xf>
    <xf numFmtId="10" fontId="0" fillId="0" borderId="30" xfId="0" applyNumberFormat="1" applyBorder="1"/>
    <xf numFmtId="193" fontId="0" fillId="0" borderId="30" xfId="0" applyNumberFormat="1" applyBorder="1"/>
    <xf numFmtId="176" fontId="0" fillId="0" borderId="30" xfId="0" applyNumberFormat="1" applyBorder="1"/>
    <xf numFmtId="0" fontId="28" fillId="0" borderId="0" xfId="342" applyFont="1"/>
    <xf numFmtId="9" fontId="28" fillId="0" borderId="0" xfId="343" applyFont="1"/>
    <xf numFmtId="10" fontId="28" fillId="0" borderId="0" xfId="344" applyNumberFormat="1" applyFont="1"/>
    <xf numFmtId="41" fontId="28" fillId="32" borderId="52" xfId="253" applyNumberFormat="1" applyFont="1" applyFill="1" applyBorder="1" applyProtection="1">
      <protection locked="0"/>
    </xf>
    <xf numFmtId="41" fontId="28" fillId="32" borderId="0" xfId="253" applyNumberFormat="1" applyFont="1" applyFill="1" applyProtection="1">
      <protection locked="0"/>
    </xf>
    <xf numFmtId="41" fontId="28" fillId="32" borderId="54" xfId="253" applyNumberFormat="1" applyFont="1" applyFill="1" applyBorder="1" applyProtection="1">
      <protection locked="0"/>
    </xf>
    <xf numFmtId="41" fontId="28" fillId="32" borderId="42" xfId="253" applyNumberFormat="1" applyFont="1" applyFill="1" applyBorder="1" applyProtection="1">
      <protection locked="0"/>
    </xf>
    <xf numFmtId="41" fontId="28" fillId="0" borderId="42" xfId="342" applyNumberFormat="1" applyFont="1" applyBorder="1"/>
    <xf numFmtId="173" fontId="28" fillId="0" borderId="0" xfId="347" applyNumberFormat="1" applyFont="1" applyBorder="1" applyAlignment="1">
      <alignment horizontal="center"/>
    </xf>
    <xf numFmtId="41" fontId="28" fillId="0" borderId="54" xfId="342" applyNumberFormat="1" applyFont="1" applyBorder="1"/>
    <xf numFmtId="41" fontId="28" fillId="32" borderId="34" xfId="253" applyNumberFormat="1" applyFont="1" applyFill="1" applyBorder="1" applyAlignment="1" applyProtection="1">
      <alignment vertical="top"/>
      <protection locked="0"/>
    </xf>
    <xf numFmtId="172" fontId="28" fillId="0" borderId="0" xfId="342" applyNumberFormat="1" applyFont="1"/>
    <xf numFmtId="41" fontId="28" fillId="32" borderId="56" xfId="253" applyNumberFormat="1" applyFont="1" applyFill="1" applyBorder="1" applyProtection="1">
      <protection locked="0"/>
    </xf>
    <xf numFmtId="1" fontId="28" fillId="0" borderId="57" xfId="347" applyNumberFormat="1" applyFont="1" applyBorder="1" applyAlignment="1"/>
    <xf numFmtId="173" fontId="28" fillId="0" borderId="57" xfId="347" applyNumberFormat="1" applyFont="1" applyBorder="1" applyAlignment="1"/>
    <xf numFmtId="177" fontId="28" fillId="0" borderId="57" xfId="347" applyNumberFormat="1" applyFont="1" applyBorder="1" applyAlignment="1"/>
    <xf numFmtId="173" fontId="28" fillId="0" borderId="57" xfId="347" applyNumberFormat="1" applyFont="1" applyFill="1" applyBorder="1" applyAlignment="1"/>
    <xf numFmtId="1" fontId="28" fillId="0" borderId="0" xfId="347" applyNumberFormat="1" applyFont="1" applyBorder="1" applyAlignment="1"/>
    <xf numFmtId="177" fontId="28" fillId="0" borderId="0" xfId="347" applyNumberFormat="1" applyFont="1" applyBorder="1" applyAlignment="1"/>
    <xf numFmtId="173" fontId="28" fillId="0" borderId="58" xfId="347" applyNumberFormat="1" applyFont="1" applyBorder="1" applyAlignment="1">
      <alignment horizontal="center"/>
    </xf>
    <xf numFmtId="173" fontId="28" fillId="0" borderId="0" xfId="347" applyNumberFormat="1" applyFont="1" applyBorder="1" applyAlignment="1"/>
    <xf numFmtId="0" fontId="28" fillId="0" borderId="0" xfId="348" applyFont="1"/>
    <xf numFmtId="0" fontId="28" fillId="0" borderId="0" xfId="348" applyFont="1" applyAlignment="1">
      <alignment horizontal="center"/>
    </xf>
    <xf numFmtId="0" fontId="6" fillId="0" borderId="0" xfId="348" applyFont="1" applyAlignment="1">
      <alignment horizontal="right"/>
    </xf>
    <xf numFmtId="14" fontId="28" fillId="0" borderId="0" xfId="348" applyNumberFormat="1" applyFont="1"/>
    <xf numFmtId="41" fontId="28" fillId="0" borderId="0" xfId="348" applyNumberFormat="1" applyFont="1"/>
    <xf numFmtId="0" fontId="28" fillId="0" borderId="0" xfId="0" applyFont="1"/>
    <xf numFmtId="0" fontId="28" fillId="0" borderId="11" xfId="348" applyFont="1" applyBorder="1"/>
    <xf numFmtId="0" fontId="29" fillId="0" borderId="11" xfId="348" applyFont="1" applyBorder="1" applyAlignment="1">
      <alignment horizontal="center"/>
    </xf>
    <xf numFmtId="0" fontId="29" fillId="0" borderId="11" xfId="348" applyFont="1" applyBorder="1" applyAlignment="1">
      <alignment horizontal="center" wrapText="1"/>
    </xf>
    <xf numFmtId="0" fontId="29" fillId="0" borderId="51" xfId="348" applyFont="1" applyBorder="1" applyAlignment="1">
      <alignment horizontal="center" wrapText="1"/>
    </xf>
    <xf numFmtId="0" fontId="29" fillId="0" borderId="0" xfId="348" applyFont="1" applyAlignment="1">
      <alignment horizontal="center"/>
    </xf>
    <xf numFmtId="0" fontId="29" fillId="0" borderId="0" xfId="348" applyFont="1" applyAlignment="1">
      <alignment horizontal="center" wrapText="1"/>
    </xf>
    <xf numFmtId="0" fontId="29" fillId="0" borderId="0" xfId="348" applyFont="1" applyAlignment="1">
      <alignment horizontal="left"/>
    </xf>
    <xf numFmtId="0" fontId="28" fillId="34" borderId="0" xfId="348" applyFont="1" applyFill="1"/>
    <xf numFmtId="49" fontId="28" fillId="0" borderId="0" xfId="348" applyNumberFormat="1" applyFont="1" applyAlignment="1">
      <alignment horizontal="center"/>
    </xf>
    <xf numFmtId="173" fontId="28" fillId="35" borderId="52" xfId="115" applyNumberFormat="1" applyFont="1" applyFill="1" applyBorder="1"/>
    <xf numFmtId="173" fontId="28" fillId="0" borderId="53" xfId="115" applyNumberFormat="1" applyFont="1" applyFill="1" applyBorder="1"/>
    <xf numFmtId="173" fontId="28" fillId="35" borderId="0" xfId="115" applyNumberFormat="1" applyFont="1" applyFill="1" applyBorder="1"/>
    <xf numFmtId="41" fontId="28" fillId="0" borderId="0" xfId="348" applyNumberFormat="1" applyFont="1" applyAlignment="1">
      <alignment horizontal="center"/>
    </xf>
    <xf numFmtId="0" fontId="29" fillId="0" borderId="0" xfId="348" applyFont="1"/>
    <xf numFmtId="173" fontId="28" fillId="35" borderId="55" xfId="115" applyNumberFormat="1" applyFont="1" applyFill="1" applyBorder="1"/>
    <xf numFmtId="173" fontId="28" fillId="0" borderId="55" xfId="115" applyNumberFormat="1" applyFont="1" applyFill="1" applyBorder="1"/>
    <xf numFmtId="173" fontId="28" fillId="35" borderId="54" xfId="115" applyNumberFormat="1" applyFont="1" applyFill="1" applyBorder="1"/>
    <xf numFmtId="173" fontId="28" fillId="0" borderId="54" xfId="115" applyNumberFormat="1" applyFont="1" applyFill="1" applyBorder="1"/>
    <xf numFmtId="0" fontId="28" fillId="0" borderId="0" xfId="348" applyFont="1" applyAlignment="1">
      <alignment wrapText="1"/>
    </xf>
    <xf numFmtId="173" fontId="28" fillId="0" borderId="0" xfId="115" applyNumberFormat="1" applyFont="1" applyFill="1" applyBorder="1"/>
    <xf numFmtId="173" fontId="28" fillId="0" borderId="0" xfId="115" applyNumberFormat="1" applyFont="1" applyBorder="1" applyAlignment="1">
      <alignment wrapText="1"/>
    </xf>
    <xf numFmtId="0" fontId="28" fillId="0" borderId="0" xfId="348" applyFont="1" applyAlignment="1">
      <alignment horizontal="left"/>
    </xf>
    <xf numFmtId="173" fontId="28" fillId="0" borderId="0" xfId="115" applyNumberFormat="1" applyFont="1" applyAlignment="1">
      <alignment wrapText="1"/>
    </xf>
    <xf numFmtId="0" fontId="28" fillId="0" borderId="0" xfId="348" applyFont="1" applyAlignment="1">
      <alignment horizontal="left" vertical="center"/>
    </xf>
    <xf numFmtId="0" fontId="28" fillId="0" borderId="0" xfId="348" applyFont="1" applyAlignment="1">
      <alignment vertical="top" wrapText="1"/>
    </xf>
    <xf numFmtId="173" fontId="28" fillId="0" borderId="0" xfId="348" applyNumberFormat="1" applyFont="1"/>
    <xf numFmtId="0" fontId="28" fillId="0" borderId="0" xfId="348" applyFont="1" applyAlignment="1">
      <alignment vertical="top"/>
    </xf>
    <xf numFmtId="0" fontId="29" fillId="0" borderId="0" xfId="348" applyFont="1" applyAlignment="1">
      <alignment horizontal="left" vertical="center"/>
    </xf>
    <xf numFmtId="173" fontId="28" fillId="0" borderId="0" xfId="348" applyNumberFormat="1" applyFont="1" applyAlignment="1">
      <alignment horizontal="left" vertical="center"/>
    </xf>
    <xf numFmtId="173" fontId="29" fillId="0" borderId="0" xfId="348" applyNumberFormat="1" applyFont="1" applyAlignment="1">
      <alignment horizontal="center"/>
    </xf>
    <xf numFmtId="0" fontId="172" fillId="0" borderId="0" xfId="0" applyFont="1"/>
    <xf numFmtId="164" fontId="16" fillId="0" borderId="0" xfId="270" applyNumberFormat="1" applyFont="1"/>
    <xf numFmtId="173" fontId="150" fillId="32" borderId="0" xfId="385" applyNumberFormat="1" applyFont="1" applyFill="1" applyProtection="1">
      <protection locked="0"/>
    </xf>
    <xf numFmtId="41" fontId="146" fillId="0" borderId="0" xfId="546" applyNumberFormat="1" applyFont="1"/>
    <xf numFmtId="176" fontId="122" fillId="32" borderId="0" xfId="344" applyNumberFormat="1" applyFont="1" applyFill="1" applyProtection="1">
      <protection locked="0"/>
    </xf>
    <xf numFmtId="41" fontId="76" fillId="33" borderId="11" xfId="262" applyNumberFormat="1" applyFont="1" applyFill="1" applyBorder="1" applyProtection="1">
      <protection locked="0"/>
    </xf>
    <xf numFmtId="164" fontId="143" fillId="27" borderId="0" xfId="344" applyNumberFormat="1" applyFont="1" applyFill="1" applyProtection="1">
      <protection locked="0"/>
    </xf>
    <xf numFmtId="164" fontId="143" fillId="27" borderId="11" xfId="344" applyNumberFormat="1" applyFont="1" applyFill="1" applyBorder="1" applyProtection="1">
      <protection locked="0"/>
    </xf>
    <xf numFmtId="0" fontId="6" fillId="0" borderId="0" xfId="342"/>
    <xf numFmtId="10" fontId="0" fillId="0" borderId="16" xfId="0" applyNumberFormat="1" applyBorder="1" applyAlignment="1">
      <alignment horizontal="center"/>
    </xf>
    <xf numFmtId="0" fontId="114" fillId="0" borderId="0" xfId="0" applyFont="1"/>
    <xf numFmtId="0" fontId="110" fillId="0" borderId="0" xfId="0" applyFont="1" applyProtection="1">
      <protection locked="0"/>
    </xf>
    <xf numFmtId="0" fontId="175" fillId="0" borderId="0" xfId="0" applyFont="1" applyAlignment="1">
      <alignment horizontal="center"/>
    </xf>
    <xf numFmtId="0" fontId="9" fillId="0" borderId="0" xfId="558" applyFont="1"/>
    <xf numFmtId="0" fontId="6" fillId="0" borderId="0" xfId="558"/>
    <xf numFmtId="0" fontId="6" fillId="0" borderId="0" xfId="558" applyAlignment="1">
      <alignment horizontal="center"/>
    </xf>
    <xf numFmtId="0" fontId="6" fillId="0" borderId="0" xfId="0" applyFont="1" applyAlignment="1">
      <alignment horizontal="center"/>
    </xf>
    <xf numFmtId="0" fontId="13" fillId="0" borderId="0" xfId="256" applyFont="1" applyAlignment="1">
      <alignment horizontal="center" wrapText="1"/>
    </xf>
    <xf numFmtId="41" fontId="12" fillId="36" borderId="0" xfId="253" applyNumberFormat="1" applyFont="1" applyFill="1" applyProtection="1">
      <protection locked="0"/>
    </xf>
    <xf numFmtId="37" fontId="0" fillId="36" borderId="0" xfId="0" applyNumberFormat="1" applyFill="1"/>
    <xf numFmtId="2" fontId="6" fillId="0" borderId="0" xfId="559" applyNumberFormat="1" applyFont="1"/>
    <xf numFmtId="172" fontId="6" fillId="0" borderId="0" xfId="559" applyFont="1"/>
    <xf numFmtId="172" fontId="9" fillId="0" borderId="0" xfId="559" applyFont="1" applyAlignment="1">
      <alignment horizontal="right"/>
    </xf>
    <xf numFmtId="172" fontId="28" fillId="0" borderId="0" xfId="559" applyFont="1" applyAlignment="1">
      <alignment horizontal="right"/>
    </xf>
    <xf numFmtId="173" fontId="6" fillId="0" borderId="0" xfId="560" applyNumberFormat="1" applyFont="1"/>
    <xf numFmtId="2" fontId="6" fillId="0" borderId="0" xfId="561" applyNumberFormat="1" applyFont="1"/>
    <xf numFmtId="172" fontId="6" fillId="0" borderId="0" xfId="559" applyFont="1" applyAlignment="1">
      <alignment horizontal="right"/>
    </xf>
    <xf numFmtId="173" fontId="13" fillId="0" borderId="0" xfId="560" applyNumberFormat="1" applyFont="1"/>
    <xf numFmtId="2" fontId="6" fillId="0" borderId="0" xfId="559" applyNumberFormat="1" applyFont="1" applyAlignment="1">
      <alignment horizontal="center"/>
    </xf>
    <xf numFmtId="172" fontId="6" fillId="0" borderId="0" xfId="559" applyFont="1" applyAlignment="1">
      <alignment horizontal="center"/>
    </xf>
    <xf numFmtId="172" fontId="6" fillId="0" borderId="0" xfId="559" applyFont="1" applyAlignment="1">
      <alignment wrapText="1"/>
    </xf>
    <xf numFmtId="172" fontId="6" fillId="0" borderId="0" xfId="559" applyFont="1" applyAlignment="1">
      <alignment horizontal="center" wrapText="1"/>
    </xf>
    <xf numFmtId="172" fontId="7" fillId="0" borderId="0" xfId="559"/>
    <xf numFmtId="2" fontId="13" fillId="0" borderId="0" xfId="559" applyNumberFormat="1" applyFont="1"/>
    <xf numFmtId="173" fontId="6" fillId="0" borderId="0" xfId="560" applyNumberFormat="1" applyFont="1" applyFill="1"/>
    <xf numFmtId="1" fontId="6" fillId="0" borderId="0" xfId="559" applyNumberFormat="1" applyFont="1" applyAlignment="1">
      <alignment horizontal="center"/>
    </xf>
    <xf numFmtId="49" fontId="6" fillId="0" borderId="0" xfId="560" applyNumberFormat="1" applyFont="1"/>
    <xf numFmtId="170" fontId="6" fillId="0" borderId="0" xfId="559" applyNumberFormat="1" applyFont="1"/>
    <xf numFmtId="173" fontId="6" fillId="0" borderId="11" xfId="560" applyNumberFormat="1" applyFont="1" applyBorder="1"/>
    <xf numFmtId="173" fontId="0" fillId="0" borderId="0" xfId="560" applyNumberFormat="1" applyFont="1" applyFill="1"/>
    <xf numFmtId="10" fontId="6" fillId="0" borderId="0" xfId="562" applyNumberFormat="1" applyFont="1" applyFill="1"/>
    <xf numFmtId="43" fontId="0" fillId="0" borderId="0" xfId="560" applyFont="1" applyFill="1"/>
    <xf numFmtId="9" fontId="6" fillId="0" borderId="0" xfId="562" applyFont="1" applyFill="1"/>
    <xf numFmtId="9" fontId="0" fillId="0" borderId="0" xfId="562" applyFont="1" applyFill="1"/>
    <xf numFmtId="8" fontId="6" fillId="0" borderId="0" xfId="562" applyNumberFormat="1" applyFont="1" applyFill="1"/>
    <xf numFmtId="200" fontId="0" fillId="0" borderId="0" xfId="560" applyNumberFormat="1" applyFont="1" applyFill="1"/>
    <xf numFmtId="10" fontId="6" fillId="0" borderId="0" xfId="560" applyNumberFormat="1" applyFont="1" applyFill="1"/>
    <xf numFmtId="173" fontId="6" fillId="0" borderId="51" xfId="560" applyNumberFormat="1" applyFont="1" applyBorder="1"/>
    <xf numFmtId="173" fontId="6" fillId="0" borderId="51" xfId="560" applyNumberFormat="1" applyFont="1" applyFill="1" applyBorder="1"/>
    <xf numFmtId="173" fontId="6" fillId="0" borderId="0" xfId="560" applyNumberFormat="1" applyFont="1" applyFill="1" applyBorder="1"/>
    <xf numFmtId="10" fontId="6" fillId="0" borderId="0" xfId="560" applyNumberFormat="1" applyFont="1" applyFill="1" applyBorder="1"/>
    <xf numFmtId="1" fontId="13" fillId="0" borderId="0" xfId="559" applyNumberFormat="1" applyFont="1" applyAlignment="1">
      <alignment horizontal="left"/>
    </xf>
    <xf numFmtId="10" fontId="7" fillId="0" borderId="0" xfId="559" applyNumberFormat="1"/>
    <xf numFmtId="200" fontId="6" fillId="0" borderId="0" xfId="560" applyNumberFormat="1" applyFont="1" applyFill="1"/>
    <xf numFmtId="173" fontId="6" fillId="0" borderId="63" xfId="560" applyNumberFormat="1" applyFont="1" applyBorder="1"/>
    <xf numFmtId="173" fontId="0" fillId="0" borderId="0" xfId="560" applyNumberFormat="1" applyFont="1"/>
    <xf numFmtId="2" fontId="7" fillId="0" borderId="0" xfId="559" applyNumberFormat="1"/>
    <xf numFmtId="173" fontId="143" fillId="32" borderId="0" xfId="385" applyNumberFormat="1" applyFont="1" applyFill="1" applyProtection="1">
      <protection locked="0"/>
    </xf>
    <xf numFmtId="173" fontId="28" fillId="0" borderId="58" xfId="560" applyNumberFormat="1" applyFont="1" applyBorder="1" applyAlignment="1">
      <alignment horizontal="center"/>
    </xf>
    <xf numFmtId="173" fontId="12" fillId="32" borderId="0" xfId="254" applyNumberFormat="1" applyFont="1" applyFill="1"/>
    <xf numFmtId="173" fontId="12" fillId="32" borderId="11" xfId="254" applyNumberFormat="1" applyFont="1" applyFill="1" applyBorder="1"/>
    <xf numFmtId="173" fontId="78" fillId="0" borderId="0" xfId="262" applyNumberFormat="1" applyFont="1" applyAlignment="1">
      <alignment horizontal="center" vertical="center"/>
    </xf>
    <xf numFmtId="0" fontId="7" fillId="0" borderId="0" xfId="263" applyAlignment="1">
      <alignment horizontal="left"/>
    </xf>
    <xf numFmtId="193" fontId="7" fillId="0" borderId="0" xfId="263" applyNumberFormat="1"/>
    <xf numFmtId="10" fontId="0" fillId="0" borderId="16" xfId="0" applyNumberFormat="1" applyBorder="1"/>
    <xf numFmtId="176" fontId="0" fillId="0" borderId="0" xfId="0" quotePrefix="1" applyNumberFormat="1" applyAlignment="1">
      <alignment horizontal="left"/>
    </xf>
    <xf numFmtId="176" fontId="0" fillId="0" borderId="0" xfId="0" applyNumberFormat="1"/>
    <xf numFmtId="176" fontId="0" fillId="0" borderId="0" xfId="0" quotePrefix="1" applyNumberFormat="1" applyAlignment="1">
      <alignment horizontal="right"/>
    </xf>
    <xf numFmtId="0" fontId="115" fillId="0" borderId="0" xfId="0" applyFont="1" applyAlignment="1" applyProtection="1">
      <alignment horizontal="right"/>
      <protection locked="0"/>
    </xf>
    <xf numFmtId="0" fontId="115" fillId="0" borderId="0" xfId="0" applyFont="1" applyProtection="1">
      <protection locked="0"/>
    </xf>
    <xf numFmtId="10" fontId="116" fillId="0" borderId="0" xfId="0" applyNumberFormat="1" applyFont="1"/>
    <xf numFmtId="0" fontId="116" fillId="0" borderId="0" xfId="0" applyFont="1"/>
    <xf numFmtId="0" fontId="116" fillId="0" borderId="0" xfId="0" applyFont="1" applyAlignment="1">
      <alignment horizontal="right"/>
    </xf>
    <xf numFmtId="0" fontId="46" fillId="0" borderId="0" xfId="0" applyFont="1"/>
    <xf numFmtId="201" fontId="0" fillId="0" borderId="0" xfId="0" applyNumberFormat="1" applyAlignment="1">
      <alignment horizontal="centerContinuous"/>
    </xf>
    <xf numFmtId="0" fontId="0" fillId="0" borderId="0" xfId="0" applyAlignment="1">
      <alignment horizontal="centerContinuous"/>
    </xf>
    <xf numFmtId="202" fontId="0" fillId="0" borderId="0" xfId="0" applyNumberFormat="1"/>
    <xf numFmtId="41" fontId="12" fillId="32" borderId="0" xfId="254" applyNumberFormat="1" applyFont="1" applyFill="1" applyProtection="1">
      <protection locked="0"/>
    </xf>
    <xf numFmtId="173" fontId="9" fillId="0" borderId="0" xfId="86" applyNumberFormat="1" applyFont="1" applyFill="1" applyBorder="1" applyAlignment="1" applyProtection="1"/>
    <xf numFmtId="3" fontId="28" fillId="0" borderId="11" xfId="467" applyNumberFormat="1" applyFont="1" applyBorder="1" applyAlignment="1">
      <alignment horizontal="center" wrapText="1"/>
    </xf>
    <xf numFmtId="3" fontId="28" fillId="0" borderId="37" xfId="467" applyNumberFormat="1" applyFont="1" applyBorder="1" applyAlignment="1">
      <alignment horizontal="center" wrapText="1"/>
    </xf>
    <xf numFmtId="173" fontId="6" fillId="0" borderId="64" xfId="360" applyNumberFormat="1" applyFont="1" applyBorder="1"/>
    <xf numFmtId="173" fontId="6" fillId="0" borderId="31" xfId="360" applyNumberFormat="1" applyFont="1" applyBorder="1"/>
    <xf numFmtId="0" fontId="6" fillId="0" borderId="65" xfId="0" applyFont="1" applyBorder="1"/>
    <xf numFmtId="0" fontId="6" fillId="0" borderId="66" xfId="0" applyFont="1" applyBorder="1"/>
    <xf numFmtId="3" fontId="6" fillId="0" borderId="11" xfId="467" applyNumberFormat="1" applyBorder="1" applyAlignment="1">
      <alignment horizontal="center" wrapText="1"/>
    </xf>
    <xf numFmtId="3" fontId="6" fillId="0" borderId="37" xfId="467" applyNumberFormat="1" applyBorder="1" applyAlignment="1">
      <alignment horizontal="center" wrapText="1"/>
    </xf>
    <xf numFmtId="0" fontId="13" fillId="0" borderId="65" xfId="264" applyFont="1" applyBorder="1" applyAlignment="1">
      <alignment horizontal="center" wrapText="1"/>
    </xf>
    <xf numFmtId="0" fontId="13" fillId="0" borderId="0" xfId="252" applyFont="1" applyAlignment="1">
      <alignment horizontal="center" wrapText="1"/>
    </xf>
    <xf numFmtId="173" fontId="16" fillId="0" borderId="64" xfId="89" applyNumberFormat="1" applyFont="1" applyBorder="1"/>
    <xf numFmtId="173" fontId="12" fillId="32" borderId="65" xfId="89" applyNumberFormat="1" applyFont="1" applyFill="1" applyBorder="1" applyAlignment="1">
      <alignment horizontal="right"/>
    </xf>
    <xf numFmtId="0" fontId="16" fillId="0" borderId="65" xfId="0" applyFont="1" applyBorder="1"/>
    <xf numFmtId="173" fontId="16" fillId="0" borderId="64" xfId="88" applyNumberFormat="1" applyFont="1" applyBorder="1"/>
    <xf numFmtId="0" fontId="6" fillId="0" borderId="0" xfId="467" applyAlignment="1">
      <alignment horizontal="center"/>
    </xf>
    <xf numFmtId="38" fontId="6" fillId="0" borderId="0" xfId="0" applyNumberFormat="1" applyFont="1"/>
    <xf numFmtId="3" fontId="6" fillId="0" borderId="0" xfId="467" applyNumberFormat="1"/>
    <xf numFmtId="37" fontId="6" fillId="30" borderId="0" xfId="0" applyNumberFormat="1" applyFont="1" applyFill="1" applyProtection="1">
      <protection locked="0"/>
    </xf>
    <xf numFmtId="41" fontId="9" fillId="30" borderId="0" xfId="261" applyNumberFormat="1" applyFont="1" applyFill="1" applyProtection="1">
      <protection locked="0"/>
    </xf>
    <xf numFmtId="41" fontId="23" fillId="30" borderId="0" xfId="261" applyNumberFormat="1" applyFont="1" applyFill="1" applyProtection="1">
      <protection locked="0"/>
    </xf>
    <xf numFmtId="3" fontId="9" fillId="30" borderId="0" xfId="261" applyNumberFormat="1" applyFont="1" applyFill="1" applyProtection="1">
      <protection locked="0"/>
    </xf>
    <xf numFmtId="0" fontId="28" fillId="0" borderId="0" xfId="341" applyFont="1"/>
    <xf numFmtId="41" fontId="28" fillId="0" borderId="0" xfId="341" applyNumberFormat="1" applyFont="1" applyAlignment="1">
      <alignment horizontal="center"/>
    </xf>
    <xf numFmtId="0" fontId="29" fillId="0" borderId="0" xfId="341" applyFont="1"/>
    <xf numFmtId="173" fontId="28" fillId="35" borderId="54" xfId="563" applyNumberFormat="1" applyFont="1" applyFill="1" applyBorder="1"/>
    <xf numFmtId="41" fontId="28" fillId="32" borderId="54" xfId="255" applyNumberFormat="1" applyFont="1" applyFill="1" applyBorder="1" applyProtection="1">
      <protection locked="0"/>
    </xf>
    <xf numFmtId="173" fontId="28" fillId="35" borderId="67" xfId="563" applyNumberFormat="1" applyFont="1" applyFill="1" applyBorder="1"/>
    <xf numFmtId="173" fontId="28" fillId="0" borderId="67" xfId="563" applyNumberFormat="1" applyFont="1" applyFill="1" applyBorder="1"/>
    <xf numFmtId="0" fontId="28" fillId="0" borderId="0" xfId="547" applyFont="1"/>
    <xf numFmtId="173" fontId="28" fillId="0" borderId="0" xfId="564" applyNumberFormat="1" applyFont="1" applyBorder="1" applyAlignment="1">
      <alignment horizontal="center"/>
    </xf>
    <xf numFmtId="0" fontId="29" fillId="0" borderId="0" xfId="547" applyFont="1"/>
    <xf numFmtId="0" fontId="178" fillId="0" borderId="0" xfId="547" applyFont="1"/>
    <xf numFmtId="173" fontId="28" fillId="37" borderId="67" xfId="563" applyNumberFormat="1" applyFont="1" applyFill="1" applyBorder="1"/>
    <xf numFmtId="41" fontId="28" fillId="0" borderId="54" xfId="565" applyNumberFormat="1" applyFont="1" applyBorder="1"/>
    <xf numFmtId="49" fontId="28" fillId="33" borderId="0" xfId="341" applyNumberFormat="1" applyFont="1" applyFill="1" applyAlignment="1">
      <alignment horizontal="center"/>
    </xf>
    <xf numFmtId="49" fontId="6" fillId="33" borderId="0" xfId="547" applyNumberFormat="1" applyFont="1" applyFill="1" applyAlignment="1">
      <alignment horizontal="center"/>
    </xf>
    <xf numFmtId="49" fontId="28" fillId="33" borderId="0" xfId="547" applyNumberFormat="1" applyFont="1" applyFill="1" applyAlignment="1">
      <alignment horizontal="center"/>
    </xf>
    <xf numFmtId="0" fontId="28" fillId="0" borderId="0" xfId="341" applyFont="1" applyAlignment="1">
      <alignment horizontal="center"/>
    </xf>
    <xf numFmtId="0" fontId="28" fillId="0" borderId="0" xfId="341" applyFont="1" applyAlignment="1">
      <alignment wrapText="1"/>
    </xf>
    <xf numFmtId="173" fontId="28" fillId="35" borderId="0" xfId="557" applyNumberFormat="1" applyFont="1" applyFill="1" applyBorder="1"/>
    <xf numFmtId="41" fontId="28" fillId="32" borderId="69" xfId="255" applyNumberFormat="1" applyFont="1" applyFill="1" applyBorder="1" applyProtection="1">
      <protection locked="0"/>
    </xf>
    <xf numFmtId="173" fontId="28" fillId="0" borderId="54" xfId="557" applyNumberFormat="1" applyFont="1" applyFill="1" applyBorder="1"/>
    <xf numFmtId="173" fontId="12" fillId="32" borderId="66" xfId="89" applyNumberFormat="1" applyFont="1" applyFill="1" applyBorder="1" applyAlignment="1">
      <alignment horizontal="right"/>
    </xf>
    <xf numFmtId="173" fontId="12" fillId="32" borderId="33" xfId="89" applyNumberFormat="1" applyFont="1" applyFill="1" applyBorder="1" applyAlignment="1">
      <alignment horizontal="right"/>
    </xf>
    <xf numFmtId="173" fontId="12" fillId="32" borderId="37" xfId="89" applyNumberFormat="1" applyFont="1" applyFill="1" applyBorder="1" applyAlignment="1">
      <alignment horizontal="right"/>
    </xf>
    <xf numFmtId="172" fontId="9" fillId="0" borderId="0" xfId="261" applyFont="1" applyAlignment="1" applyProtection="1">
      <alignment vertical="top" wrapText="1"/>
    </xf>
    <xf numFmtId="0" fontId="9" fillId="0" borderId="0" xfId="0" applyFont="1" applyAlignment="1">
      <alignment vertical="top" wrapText="1"/>
    </xf>
    <xf numFmtId="0" fontId="9" fillId="0" borderId="0" xfId="0" applyFont="1" applyAlignment="1">
      <alignment wrapText="1"/>
    </xf>
    <xf numFmtId="172" fontId="118" fillId="0" borderId="0" xfId="261" applyFont="1" applyAlignment="1" applyProtection="1">
      <alignment wrapText="1"/>
    </xf>
    <xf numFmtId="0" fontId="16" fillId="0" borderId="0" xfId="0" applyFont="1" applyAlignment="1">
      <alignment wrapText="1"/>
    </xf>
    <xf numFmtId="0" fontId="36" fillId="0" borderId="0" xfId="0" applyFont="1" applyAlignment="1">
      <alignment wrapText="1"/>
    </xf>
    <xf numFmtId="0" fontId="30" fillId="0" borderId="0" xfId="261" applyNumberFormat="1" applyFont="1" applyAlignment="1" applyProtection="1">
      <alignment horizontal="left" wrapText="1"/>
    </xf>
    <xf numFmtId="3" fontId="9" fillId="0" borderId="0" xfId="261" applyNumberFormat="1" applyFont="1" applyAlignment="1" applyProtection="1">
      <alignment horizontal="left" wrapText="1"/>
    </xf>
    <xf numFmtId="0" fontId="16" fillId="0" borderId="0" xfId="0" applyFont="1" applyAlignment="1">
      <alignment horizontal="left" wrapText="1"/>
    </xf>
    <xf numFmtId="172" fontId="80" fillId="0" borderId="0" xfId="261" applyFont="1" applyAlignment="1" applyProtection="1">
      <alignment horizontal="left" wrapText="1"/>
    </xf>
    <xf numFmtId="49" fontId="9" fillId="0" borderId="0" xfId="261" applyNumberFormat="1" applyFont="1" applyAlignment="1" applyProtection="1">
      <alignment horizontal="center"/>
    </xf>
    <xf numFmtId="0" fontId="36" fillId="0" borderId="0" xfId="0" applyFont="1" applyAlignment="1">
      <alignment horizontal="center"/>
    </xf>
    <xf numFmtId="0" fontId="14" fillId="0" borderId="0" xfId="261" applyNumberFormat="1" applyFont="1" applyAlignment="1" applyProtection="1">
      <alignment horizontal="center"/>
    </xf>
    <xf numFmtId="0" fontId="17" fillId="0" borderId="0" xfId="0" applyFont="1"/>
    <xf numFmtId="0" fontId="0" fillId="0" borderId="0" xfId="0" applyAlignment="1">
      <alignment horizontal="center"/>
    </xf>
    <xf numFmtId="172" fontId="10" fillId="0" borderId="11" xfId="261" applyFont="1" applyBorder="1" applyAlignment="1" applyProtection="1">
      <alignment horizontal="center"/>
    </xf>
    <xf numFmtId="0" fontId="9" fillId="0" borderId="0" xfId="0" applyFont="1" applyAlignment="1">
      <alignment horizontal="left" vertical="top" wrapText="1"/>
    </xf>
    <xf numFmtId="3" fontId="153" fillId="0" borderId="0" xfId="261" applyNumberFormat="1" applyFont="1" applyAlignment="1" applyProtection="1">
      <alignment horizontal="center"/>
    </xf>
    <xf numFmtId="172" fontId="9" fillId="0" borderId="0" xfId="261" applyFont="1" applyAlignment="1" applyProtection="1">
      <alignment horizontal="left" wrapText="1"/>
    </xf>
    <xf numFmtId="0" fontId="9" fillId="0" borderId="0" xfId="261" applyNumberFormat="1" applyFont="1" applyAlignment="1" applyProtection="1">
      <alignment horizontal="left" wrapText="1"/>
    </xf>
    <xf numFmtId="0" fontId="9" fillId="0" borderId="0" xfId="261" applyNumberFormat="1" applyFont="1" applyAlignment="1" applyProtection="1">
      <alignment horizontal="left" vertical="top" wrapText="1"/>
    </xf>
    <xf numFmtId="172" fontId="30" fillId="0" borderId="0" xfId="261" applyFont="1" applyAlignment="1" applyProtection="1">
      <alignment vertical="top" wrapText="1"/>
    </xf>
    <xf numFmtId="0" fontId="30" fillId="0" borderId="0" xfId="0" applyFont="1" applyAlignment="1">
      <alignment vertical="top" wrapText="1"/>
    </xf>
    <xf numFmtId="172" fontId="9" fillId="0" borderId="0" xfId="261" applyFont="1" applyAlignment="1" applyProtection="1">
      <alignment horizontal="left"/>
    </xf>
    <xf numFmtId="172" fontId="138" fillId="0" borderId="0" xfId="261" applyFont="1" applyAlignment="1" applyProtection="1">
      <alignment vertical="top" wrapText="1"/>
    </xf>
    <xf numFmtId="0" fontId="134" fillId="0" borderId="0" xfId="0" applyFont="1" applyAlignment="1">
      <alignment vertical="top" wrapText="1"/>
    </xf>
    <xf numFmtId="172" fontId="30" fillId="0" borderId="0" xfId="261" applyFont="1" applyAlignment="1" applyProtection="1">
      <alignment wrapText="1"/>
    </xf>
    <xf numFmtId="0" fontId="13" fillId="0" borderId="67" xfId="192" applyFont="1" applyBorder="1" applyAlignment="1">
      <alignment horizontal="center"/>
    </xf>
    <xf numFmtId="0" fontId="13" fillId="0" borderId="68" xfId="192" applyFont="1" applyBorder="1" applyAlignment="1">
      <alignment horizontal="center"/>
    </xf>
    <xf numFmtId="0" fontId="13" fillId="0" borderId="69" xfId="192" applyFont="1" applyBorder="1" applyAlignment="1">
      <alignment horizontal="center"/>
    </xf>
    <xf numFmtId="0" fontId="9" fillId="0" borderId="0" xfId="0" applyFont="1" applyAlignment="1">
      <alignment horizontal="center"/>
    </xf>
    <xf numFmtId="0" fontId="9" fillId="0" borderId="0" xfId="214" applyFont="1" applyAlignment="1">
      <alignment horizontal="center"/>
    </xf>
    <xf numFmtId="3" fontId="9" fillId="0" borderId="0" xfId="214" applyNumberFormat="1" applyFont="1" applyAlignment="1">
      <alignment horizontal="center"/>
    </xf>
    <xf numFmtId="0" fontId="13" fillId="0" borderId="67" xfId="264" applyFont="1" applyBorder="1" applyAlignment="1">
      <alignment horizontal="center" wrapText="1"/>
    </xf>
    <xf numFmtId="0" fontId="13" fillId="0" borderId="68" xfId="264" applyFont="1" applyBorder="1" applyAlignment="1">
      <alignment horizontal="center" wrapText="1"/>
    </xf>
    <xf numFmtId="0" fontId="13" fillId="0" borderId="69" xfId="264" applyFont="1" applyBorder="1" applyAlignment="1">
      <alignment horizontal="center" wrapText="1"/>
    </xf>
    <xf numFmtId="0" fontId="16" fillId="0" borderId="0" xfId="214" applyAlignment="1">
      <alignment horizontal="left" wrapText="1"/>
    </xf>
    <xf numFmtId="0" fontId="21" fillId="0" borderId="0" xfId="253" applyFont="1" applyAlignment="1">
      <alignment horizontal="center" wrapText="1"/>
    </xf>
    <xf numFmtId="0" fontId="17" fillId="0" borderId="0" xfId="0" applyFont="1" applyAlignment="1">
      <alignment horizontal="center" wrapText="1"/>
    </xf>
    <xf numFmtId="3" fontId="9" fillId="0" borderId="0" xfId="0" applyNumberFormat="1" applyFont="1" applyAlignment="1">
      <alignment horizontal="center"/>
    </xf>
    <xf numFmtId="0" fontId="21" fillId="0" borderId="0" xfId="214" quotePrefix="1" applyFont="1" applyAlignment="1">
      <alignment horizontal="center" wrapText="1"/>
    </xf>
    <xf numFmtId="3" fontId="0" fillId="0" borderId="11" xfId="0" applyNumberFormat="1" applyBorder="1" applyAlignment="1">
      <alignment horizontal="center"/>
    </xf>
    <xf numFmtId="3" fontId="16" fillId="0" borderId="11" xfId="0" applyNumberFormat="1" applyFont="1" applyBorder="1" applyAlignment="1">
      <alignment horizontal="center"/>
    </xf>
    <xf numFmtId="0" fontId="28" fillId="0" borderId="0" xfId="348" applyFont="1" applyAlignment="1">
      <alignment horizontal="left" vertical="top" wrapText="1"/>
    </xf>
    <xf numFmtId="0" fontId="28" fillId="0" borderId="11" xfId="348" applyFont="1" applyBorder="1" applyAlignment="1">
      <alignment horizontal="center"/>
    </xf>
    <xf numFmtId="0" fontId="28" fillId="0" borderId="11" xfId="0" applyFont="1" applyBorder="1" applyAlignment="1">
      <alignment horizontal="center"/>
    </xf>
    <xf numFmtId="0" fontId="28" fillId="0" borderId="11" xfId="348" applyFont="1" applyBorder="1" applyAlignment="1">
      <alignment horizontal="center" wrapText="1"/>
    </xf>
    <xf numFmtId="0" fontId="29" fillId="0" borderId="0" xfId="348" applyFont="1" applyAlignment="1">
      <alignment horizontal="center" wrapText="1"/>
    </xf>
    <xf numFmtId="0" fontId="28" fillId="0" borderId="0" xfId="348" applyFont="1" applyAlignment="1">
      <alignment horizontal="left" wrapText="1"/>
    </xf>
    <xf numFmtId="41" fontId="28" fillId="32" borderId="34" xfId="253" applyNumberFormat="1" applyFont="1" applyFill="1" applyBorder="1" applyAlignment="1" applyProtection="1">
      <alignment horizontal="center" vertical="center"/>
      <protection locked="0"/>
    </xf>
    <xf numFmtId="0" fontId="28" fillId="0" borderId="0" xfId="348" applyFont="1" applyAlignment="1">
      <alignment horizontal="center" wrapText="1"/>
    </xf>
    <xf numFmtId="41" fontId="28" fillId="32" borderId="34" xfId="253" applyNumberFormat="1" applyFont="1" applyFill="1" applyBorder="1" applyAlignment="1" applyProtection="1">
      <alignment horizontal="left" vertical="center" wrapText="1"/>
      <protection locked="0"/>
    </xf>
    <xf numFmtId="41" fontId="28" fillId="32" borderId="34" xfId="253" applyNumberFormat="1" applyFont="1" applyFill="1" applyBorder="1" applyAlignment="1" applyProtection="1">
      <alignment vertical="center"/>
      <protection locked="0"/>
    </xf>
    <xf numFmtId="2" fontId="6" fillId="0" borderId="0" xfId="559" applyNumberFormat="1" applyFont="1" applyAlignment="1">
      <alignment horizontal="left" wrapText="1"/>
    </xf>
    <xf numFmtId="41" fontId="13" fillId="0" borderId="11" xfId="253" applyNumberFormat="1" applyFont="1" applyBorder="1" applyAlignment="1" applyProtection="1">
      <alignment horizontal="center"/>
      <protection locked="0"/>
    </xf>
    <xf numFmtId="172" fontId="6" fillId="0" borderId="0" xfId="559" applyFont="1" applyAlignment="1">
      <alignment horizontal="center" wrapText="1"/>
    </xf>
    <xf numFmtId="172" fontId="6" fillId="0" borderId="0" xfId="559" applyFont="1" applyAlignment="1">
      <alignment horizontal="left" wrapText="1"/>
    </xf>
    <xf numFmtId="0" fontId="83" fillId="0" borderId="0" xfId="214" applyFont="1" applyAlignment="1">
      <alignment horizontal="center"/>
    </xf>
    <xf numFmtId="0" fontId="83" fillId="0" borderId="0" xfId="253" applyFont="1" applyAlignment="1">
      <alignment horizontal="center"/>
    </xf>
    <xf numFmtId="0" fontId="83" fillId="0" borderId="0" xfId="0" applyFont="1" applyAlignment="1">
      <alignment horizontal="center"/>
    </xf>
    <xf numFmtId="172" fontId="16" fillId="0" borderId="0" xfId="261" applyFont="1" applyAlignment="1" applyProtection="1">
      <alignment horizontal="left" vertical="top" wrapText="1"/>
    </xf>
    <xf numFmtId="0" fontId="13" fillId="0" borderId="0" xfId="265" applyFont="1" applyAlignment="1">
      <alignment wrapText="1"/>
    </xf>
    <xf numFmtId="3" fontId="8" fillId="0" borderId="0" xfId="0" applyNumberFormat="1" applyFont="1" applyAlignment="1">
      <alignment horizontal="center"/>
    </xf>
    <xf numFmtId="0" fontId="14" fillId="0" borderId="0" xfId="265" applyFont="1" applyAlignment="1">
      <alignment horizontal="center"/>
    </xf>
    <xf numFmtId="0" fontId="16" fillId="0" borderId="0" xfId="0" applyFont="1" applyAlignment="1">
      <alignment vertical="top" wrapText="1"/>
    </xf>
    <xf numFmtId="0" fontId="8" fillId="0" borderId="11" xfId="262" applyFont="1" applyBorder="1" applyAlignment="1">
      <alignment horizontal="center"/>
    </xf>
    <xf numFmtId="0" fontId="75" fillId="0" borderId="0" xfId="262" applyFont="1" applyAlignment="1">
      <alignment horizontal="left" wrapText="1"/>
    </xf>
    <xf numFmtId="0" fontId="75" fillId="0" borderId="0" xfId="262" applyFont="1" applyAlignment="1">
      <alignment wrapText="1"/>
    </xf>
    <xf numFmtId="0" fontId="8" fillId="0" borderId="0" xfId="214" applyFont="1" applyAlignment="1">
      <alignment horizontal="center"/>
    </xf>
    <xf numFmtId="0" fontId="8" fillId="0" borderId="0" xfId="0" applyFont="1" applyAlignment="1">
      <alignment horizontal="center"/>
    </xf>
    <xf numFmtId="0" fontId="73" fillId="32" borderId="0" xfId="0" applyFont="1" applyFill="1" applyAlignment="1" applyProtection="1">
      <alignment horizontal="left" wrapText="1"/>
      <protection locked="0"/>
    </xf>
    <xf numFmtId="0" fontId="0" fillId="32" borderId="0" xfId="0" applyFill="1" applyAlignment="1" applyProtection="1">
      <alignment wrapText="1"/>
      <protection locked="0"/>
    </xf>
    <xf numFmtId="173" fontId="100" fillId="0" borderId="0" xfId="88" applyNumberFormat="1" applyFont="1" applyBorder="1" applyAlignment="1" applyProtection="1">
      <alignment horizontal="center"/>
    </xf>
    <xf numFmtId="0" fontId="0" fillId="0" borderId="0" xfId="0" applyAlignment="1">
      <alignment horizontal="left" wrapText="1"/>
    </xf>
    <xf numFmtId="0" fontId="73" fillId="32" borderId="0" xfId="0" applyFont="1" applyFill="1" applyAlignment="1" applyProtection="1">
      <alignment horizontal="left" vertical="top" wrapText="1"/>
      <protection locked="0"/>
    </xf>
    <xf numFmtId="0" fontId="0" fillId="32" borderId="0" xfId="0" applyFill="1" applyAlignment="1" applyProtection="1">
      <alignment vertical="top" wrapText="1"/>
      <protection locked="0"/>
    </xf>
    <xf numFmtId="172" fontId="6" fillId="0" borderId="21" xfId="261" applyFont="1" applyBorder="1" applyAlignment="1" applyProtection="1">
      <alignment wrapText="1"/>
    </xf>
    <xf numFmtId="0" fontId="6" fillId="0" borderId="15" xfId="0" applyFont="1" applyBorder="1" applyAlignment="1">
      <alignment wrapText="1"/>
    </xf>
    <xf numFmtId="0" fontId="6" fillId="0" borderId="25" xfId="0" applyFont="1" applyBorder="1" applyAlignment="1">
      <alignment wrapText="1"/>
    </xf>
    <xf numFmtId="0" fontId="6" fillId="0" borderId="17" xfId="0" applyFont="1" applyBorder="1" applyAlignment="1">
      <alignment wrapText="1"/>
    </xf>
    <xf numFmtId="0" fontId="6" fillId="0" borderId="0" xfId="0" applyFont="1" applyAlignment="1">
      <alignment wrapText="1"/>
    </xf>
    <xf numFmtId="0" fontId="6" fillId="0" borderId="18" xfId="0" applyFont="1" applyBorder="1" applyAlignment="1">
      <alignment wrapText="1"/>
    </xf>
    <xf numFmtId="0" fontId="8" fillId="0" borderId="0" xfId="0" applyFont="1" applyAlignment="1">
      <alignment wrapText="1"/>
    </xf>
    <xf numFmtId="0" fontId="0" fillId="0" borderId="0" xfId="0" applyAlignment="1">
      <alignment wrapText="1"/>
    </xf>
    <xf numFmtId="173" fontId="100" fillId="0" borderId="0" xfId="86" applyNumberFormat="1" applyFont="1" applyBorder="1" applyAlignment="1" applyProtection="1">
      <alignment horizontal="center"/>
    </xf>
    <xf numFmtId="0" fontId="16" fillId="0" borderId="0" xfId="256" applyAlignment="1">
      <alignment horizontal="left" wrapText="1"/>
    </xf>
    <xf numFmtId="0" fontId="16" fillId="0" borderId="0" xfId="186" applyAlignment="1">
      <alignment wrapText="1"/>
    </xf>
    <xf numFmtId="0" fontId="93" fillId="0" borderId="0" xfId="256" applyFont="1" applyAlignment="1">
      <alignment horizontal="left" wrapText="1"/>
    </xf>
    <xf numFmtId="0" fontId="67" fillId="0" borderId="0" xfId="0" applyFont="1" applyAlignment="1">
      <alignment vertical="top" wrapText="1"/>
    </xf>
    <xf numFmtId="41" fontId="13" fillId="0" borderId="0" xfId="256" applyNumberFormat="1" applyFont="1" applyAlignment="1">
      <alignment horizontal="center" wrapText="1"/>
    </xf>
    <xf numFmtId="0" fontId="13" fillId="0" borderId="49" xfId="264" applyFont="1" applyBorder="1" applyAlignment="1">
      <alignment horizontal="center" wrapText="1"/>
    </xf>
    <xf numFmtId="0" fontId="13" fillId="0" borderId="13" xfId="264" applyFont="1" applyBorder="1" applyAlignment="1">
      <alignment horizontal="center" wrapText="1"/>
    </xf>
    <xf numFmtId="0" fontId="13" fillId="0" borderId="50" xfId="264" applyFont="1" applyBorder="1" applyAlignment="1">
      <alignment horizontal="center" wrapText="1"/>
    </xf>
    <xf numFmtId="0" fontId="13" fillId="0" borderId="49" xfId="0" applyFont="1" applyBorder="1" applyAlignment="1">
      <alignment horizontal="center"/>
    </xf>
    <xf numFmtId="0" fontId="13" fillId="0" borderId="13" xfId="0" applyFont="1" applyBorder="1" applyAlignment="1">
      <alignment horizontal="center"/>
    </xf>
    <xf numFmtId="0" fontId="13" fillId="0" borderId="50" xfId="0" applyFont="1" applyBorder="1" applyAlignment="1">
      <alignment horizontal="center"/>
    </xf>
    <xf numFmtId="0" fontId="99" fillId="0" borderId="0" xfId="0" applyFont="1" applyAlignment="1">
      <alignment horizontal="center" wrapText="1"/>
    </xf>
    <xf numFmtId="0" fontId="13" fillId="0" borderId="0" xfId="0" applyFont="1" applyAlignment="1">
      <alignment horizontal="center" wrapText="1"/>
    </xf>
    <xf numFmtId="0" fontId="24" fillId="32" borderId="0" xfId="0" applyFont="1" applyFill="1" applyAlignment="1" applyProtection="1">
      <alignment wrapText="1"/>
      <protection locked="0"/>
    </xf>
    <xf numFmtId="0" fontId="13" fillId="0" borderId="0" xfId="0" applyFont="1" applyAlignment="1">
      <alignment horizontal="left" wrapText="1"/>
    </xf>
    <xf numFmtId="0" fontId="143" fillId="0" borderId="0" xfId="0" applyFont="1" applyAlignment="1">
      <alignment wrapText="1"/>
    </xf>
    <xf numFmtId="0" fontId="143" fillId="0" borderId="0" xfId="0" applyFont="1" applyAlignment="1">
      <alignment horizontal="left" wrapText="1"/>
    </xf>
    <xf numFmtId="0" fontId="145" fillId="0" borderId="0" xfId="0" applyFont="1" applyAlignment="1">
      <alignment horizontal="center"/>
    </xf>
    <xf numFmtId="0" fontId="145" fillId="0" borderId="0" xfId="0" applyFont="1" applyAlignment="1">
      <alignment horizontal="center" wrapText="1"/>
    </xf>
    <xf numFmtId="173" fontId="145" fillId="0" borderId="0" xfId="112" applyNumberFormat="1" applyFont="1" applyAlignment="1">
      <alignment horizontal="center" wrapText="1"/>
    </xf>
    <xf numFmtId="0" fontId="151" fillId="0" borderId="0" xfId="0" applyFont="1" applyAlignment="1">
      <alignment horizontal="left" wrapText="1"/>
    </xf>
    <xf numFmtId="0" fontId="138" fillId="0" borderId="0" xfId="0" applyFont="1" applyAlignment="1">
      <alignment horizontal="center"/>
    </xf>
    <xf numFmtId="0" fontId="138" fillId="0" borderId="0" xfId="214" applyFont="1" applyAlignment="1">
      <alignment horizontal="center"/>
    </xf>
    <xf numFmtId="0" fontId="143" fillId="0" borderId="0" xfId="0" applyFont="1" applyAlignment="1">
      <alignment horizontal="center"/>
    </xf>
    <xf numFmtId="3" fontId="138" fillId="0" borderId="0" xfId="0" applyNumberFormat="1" applyFont="1" applyAlignment="1">
      <alignment horizontal="center"/>
    </xf>
    <xf numFmtId="0" fontId="109" fillId="0" borderId="0" xfId="263" applyFont="1" applyAlignment="1">
      <alignment horizontal="center"/>
    </xf>
    <xf numFmtId="0" fontId="0" fillId="0" borderId="0" xfId="0" applyAlignment="1">
      <alignment horizontal="left" vertical="center" wrapText="1"/>
    </xf>
    <xf numFmtId="0" fontId="9" fillId="0" borderId="0" xfId="260" applyFont="1" applyAlignment="1">
      <alignment vertical="top" wrapText="1"/>
    </xf>
    <xf numFmtId="0" fontId="7" fillId="0" borderId="0" xfId="0" applyFont="1" applyAlignment="1">
      <alignment vertical="top" wrapText="1"/>
    </xf>
    <xf numFmtId="3" fontId="109" fillId="0" borderId="0" xfId="263" applyNumberFormat="1" applyFont="1" applyAlignment="1">
      <alignment horizontal="center"/>
    </xf>
    <xf numFmtId="44" fontId="109" fillId="0" borderId="0" xfId="118" applyFont="1" applyAlignment="1" applyProtection="1">
      <alignment horizontal="center"/>
    </xf>
    <xf numFmtId="0" fontId="80" fillId="0" borderId="30" xfId="263" applyFont="1" applyBorder="1" applyAlignment="1">
      <alignment horizontal="center"/>
    </xf>
    <xf numFmtId="0" fontId="9" fillId="0" borderId="0" xfId="342" applyFont="1" applyAlignment="1">
      <alignment wrapText="1"/>
    </xf>
    <xf numFmtId="44" fontId="109" fillId="0" borderId="0" xfId="392" applyFont="1" applyAlignment="1">
      <alignment horizontal="center"/>
    </xf>
    <xf numFmtId="0" fontId="80" fillId="0" borderId="0" xfId="342" applyFont="1" applyAlignment="1">
      <alignment vertical="top" wrapText="1"/>
    </xf>
    <xf numFmtId="0" fontId="6" fillId="0" borderId="0" xfId="342" applyAlignment="1">
      <alignment vertical="top" wrapText="1"/>
    </xf>
    <xf numFmtId="0" fontId="9" fillId="0" borderId="0" xfId="558" applyFont="1" applyAlignment="1">
      <alignment vertical="top" wrapText="1"/>
    </xf>
    <xf numFmtId="0" fontId="9" fillId="0" borderId="0" xfId="168" applyFont="1" applyAlignment="1">
      <alignment vertical="top" wrapText="1"/>
    </xf>
    <xf numFmtId="0" fontId="139" fillId="0" borderId="0" xfId="263" applyFont="1" applyAlignment="1">
      <alignment horizontal="center"/>
    </xf>
    <xf numFmtId="0" fontId="7" fillId="0" borderId="0" xfId="263" applyAlignment="1">
      <alignment wrapText="1"/>
    </xf>
    <xf numFmtId="0" fontId="80" fillId="0" borderId="0" xfId="0" applyFont="1" applyAlignment="1">
      <alignment horizontal="center"/>
    </xf>
    <xf numFmtId="0" fontId="10" fillId="0" borderId="0" xfId="0" applyFont="1" applyAlignment="1">
      <alignment horizontal="center"/>
    </xf>
    <xf numFmtId="0" fontId="122" fillId="0" borderId="0" xfId="0" applyFont="1" applyAlignment="1">
      <alignment horizontal="center" wrapText="1"/>
    </xf>
  </cellXfs>
  <cellStyles count="56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00A" xfId="51" xr:uid="{00000000-0005-0000-0000-000032000000}"/>
    <cellStyle name="C00B" xfId="52" xr:uid="{00000000-0005-0000-0000-000033000000}"/>
    <cellStyle name="C00L" xfId="53" xr:uid="{00000000-0005-0000-0000-000034000000}"/>
    <cellStyle name="C01A" xfId="54" xr:uid="{00000000-0005-0000-0000-000035000000}"/>
    <cellStyle name="C01A 2" xfId="349" xr:uid="{00000000-0005-0000-0000-000036000000}"/>
    <cellStyle name="C01B" xfId="55" xr:uid="{00000000-0005-0000-0000-000037000000}"/>
    <cellStyle name="C01B 2" xfId="350" xr:uid="{00000000-0005-0000-0000-000038000000}"/>
    <cellStyle name="C01H" xfId="56" xr:uid="{00000000-0005-0000-0000-000039000000}"/>
    <cellStyle name="C01L" xfId="57" xr:uid="{00000000-0005-0000-0000-00003A000000}"/>
    <cellStyle name="C02A" xfId="58" xr:uid="{00000000-0005-0000-0000-00003B000000}"/>
    <cellStyle name="C02A 2" xfId="351" xr:uid="{00000000-0005-0000-0000-00003C000000}"/>
    <cellStyle name="C02B" xfId="59" xr:uid="{00000000-0005-0000-0000-00003D000000}"/>
    <cellStyle name="C02B 2" xfId="352" xr:uid="{00000000-0005-0000-0000-00003E000000}"/>
    <cellStyle name="C02H" xfId="60" xr:uid="{00000000-0005-0000-0000-00003F000000}"/>
    <cellStyle name="C02L" xfId="61" xr:uid="{00000000-0005-0000-0000-000040000000}"/>
    <cellStyle name="C03A" xfId="62" xr:uid="{00000000-0005-0000-0000-000041000000}"/>
    <cellStyle name="C03B" xfId="63" xr:uid="{00000000-0005-0000-0000-000042000000}"/>
    <cellStyle name="C03H" xfId="64" xr:uid="{00000000-0005-0000-0000-000043000000}"/>
    <cellStyle name="C03L" xfId="65" xr:uid="{00000000-0005-0000-0000-000044000000}"/>
    <cellStyle name="C04A" xfId="66" xr:uid="{00000000-0005-0000-0000-000045000000}"/>
    <cellStyle name="C04A 2" xfId="353" xr:uid="{00000000-0005-0000-0000-000046000000}"/>
    <cellStyle name="C04B" xfId="67" xr:uid="{00000000-0005-0000-0000-000047000000}"/>
    <cellStyle name="C04H" xfId="68" xr:uid="{00000000-0005-0000-0000-000048000000}"/>
    <cellStyle name="C04L" xfId="69" xr:uid="{00000000-0005-0000-0000-000049000000}"/>
    <cellStyle name="C05A" xfId="70" xr:uid="{00000000-0005-0000-0000-00004A000000}"/>
    <cellStyle name="C05B" xfId="71" xr:uid="{00000000-0005-0000-0000-00004B000000}"/>
    <cellStyle name="C05H" xfId="72" xr:uid="{00000000-0005-0000-0000-00004C000000}"/>
    <cellStyle name="C05L" xfId="73" xr:uid="{00000000-0005-0000-0000-00004D000000}"/>
    <cellStyle name="C05L 2" xfId="354" xr:uid="{00000000-0005-0000-0000-00004E000000}"/>
    <cellStyle name="C06A" xfId="74" xr:uid="{00000000-0005-0000-0000-00004F000000}"/>
    <cellStyle name="C06B" xfId="75" xr:uid="{00000000-0005-0000-0000-000050000000}"/>
    <cellStyle name="C06H" xfId="76" xr:uid="{00000000-0005-0000-0000-000051000000}"/>
    <cellStyle name="C06L" xfId="77" xr:uid="{00000000-0005-0000-0000-000052000000}"/>
    <cellStyle name="C07A" xfId="78" xr:uid="{00000000-0005-0000-0000-000053000000}"/>
    <cellStyle name="C07B" xfId="79" xr:uid="{00000000-0005-0000-0000-000054000000}"/>
    <cellStyle name="C07H" xfId="80" xr:uid="{00000000-0005-0000-0000-000055000000}"/>
    <cellStyle name="C07L" xfId="81" xr:uid="{00000000-0005-0000-0000-000056000000}"/>
    <cellStyle name="Calculation" xfId="82" builtinId="22" customBuiltin="1"/>
    <cellStyle name="Calculation 2" xfId="83" xr:uid="{00000000-0005-0000-0000-000058000000}"/>
    <cellStyle name="Calculation 2 2" xfId="356" xr:uid="{00000000-0005-0000-0000-000059000000}"/>
    <cellStyle name="Calculation 3" xfId="355" xr:uid="{00000000-0005-0000-0000-00005A000000}"/>
    <cellStyle name="Check Cell" xfId="84" builtinId="23" customBuiltin="1"/>
    <cellStyle name="Check Cell 2" xfId="85" xr:uid="{00000000-0005-0000-0000-00005C000000}"/>
    <cellStyle name="Comma" xfId="86" builtinId="3"/>
    <cellStyle name="Comma [0] 2" xfId="555" xr:uid="{00000000-0005-0000-0000-00005E000000}"/>
    <cellStyle name="Comma 10" xfId="347" xr:uid="{00000000-0005-0000-0000-00005F000000}"/>
    <cellStyle name="Comma 10 2" xfId="357" xr:uid="{00000000-0005-0000-0000-000060000000}"/>
    <cellStyle name="Comma 11" xfId="551" xr:uid="{00000000-0005-0000-0000-000061000000}"/>
    <cellStyle name="Comma 11 2" xfId="560" xr:uid="{00000000-0005-0000-0000-000062000000}"/>
    <cellStyle name="Comma 12 2" xfId="87" xr:uid="{00000000-0005-0000-0000-000063000000}"/>
    <cellStyle name="Comma 12 2 2" xfId="358" xr:uid="{00000000-0005-0000-0000-000064000000}"/>
    <cellStyle name="Comma 141" xfId="564" xr:uid="{700486E4-41D0-4C0D-B574-6036349624CE}"/>
    <cellStyle name="Comma 2" xfId="88" xr:uid="{00000000-0005-0000-0000-000065000000}"/>
    <cellStyle name="Comma 2 2" xfId="89" xr:uid="{00000000-0005-0000-0000-000066000000}"/>
    <cellStyle name="Comma 2 2 2" xfId="360" xr:uid="{00000000-0005-0000-0000-000067000000}"/>
    <cellStyle name="Comma 2 3" xfId="359" xr:uid="{00000000-0005-0000-0000-000068000000}"/>
    <cellStyle name="Comma 3" xfId="90" xr:uid="{00000000-0005-0000-0000-000069000000}"/>
    <cellStyle name="Comma 3 10" xfId="361" xr:uid="{00000000-0005-0000-0000-00006A000000}"/>
    <cellStyle name="Comma 3 2" xfId="91" xr:uid="{00000000-0005-0000-0000-00006B000000}"/>
    <cellStyle name="Comma 3 2 2" xfId="362" xr:uid="{00000000-0005-0000-0000-00006C000000}"/>
    <cellStyle name="Comma 3 3" xfId="92" xr:uid="{00000000-0005-0000-0000-00006D000000}"/>
    <cellStyle name="Comma 3 3 2" xfId="93" xr:uid="{00000000-0005-0000-0000-00006E000000}"/>
    <cellStyle name="Comma 3 3 2 2" xfId="364" xr:uid="{00000000-0005-0000-0000-00006F000000}"/>
    <cellStyle name="Comma 3 3 3" xfId="94" xr:uid="{00000000-0005-0000-0000-000070000000}"/>
    <cellStyle name="Comma 3 3 3 2" xfId="365" xr:uid="{00000000-0005-0000-0000-000071000000}"/>
    <cellStyle name="Comma 3 3 4" xfId="363" xr:uid="{00000000-0005-0000-0000-000072000000}"/>
    <cellStyle name="Comma 3 4" xfId="95" xr:uid="{00000000-0005-0000-0000-000073000000}"/>
    <cellStyle name="Comma 3 4 2" xfId="96" xr:uid="{00000000-0005-0000-0000-000074000000}"/>
    <cellStyle name="Comma 3 4 2 2" xfId="367" xr:uid="{00000000-0005-0000-0000-000075000000}"/>
    <cellStyle name="Comma 3 4 3" xfId="97" xr:uid="{00000000-0005-0000-0000-000076000000}"/>
    <cellStyle name="Comma 3 4 3 2" xfId="368" xr:uid="{00000000-0005-0000-0000-000077000000}"/>
    <cellStyle name="Comma 3 4 4" xfId="366" xr:uid="{00000000-0005-0000-0000-000078000000}"/>
    <cellStyle name="Comma 3 5" xfId="98" xr:uid="{00000000-0005-0000-0000-000079000000}"/>
    <cellStyle name="Comma 3 5 2" xfId="369" xr:uid="{00000000-0005-0000-0000-00007A000000}"/>
    <cellStyle name="Comma 3 6" xfId="99" xr:uid="{00000000-0005-0000-0000-00007B000000}"/>
    <cellStyle name="Comma 3 6 2" xfId="100" xr:uid="{00000000-0005-0000-0000-00007C000000}"/>
    <cellStyle name="Comma 3 6 2 2" xfId="371" xr:uid="{00000000-0005-0000-0000-00007D000000}"/>
    <cellStyle name="Comma 3 6 3" xfId="370" xr:uid="{00000000-0005-0000-0000-00007E000000}"/>
    <cellStyle name="Comma 3 7" xfId="101" xr:uid="{00000000-0005-0000-0000-00007F000000}"/>
    <cellStyle name="Comma 3 7 2" xfId="102" xr:uid="{00000000-0005-0000-0000-000080000000}"/>
    <cellStyle name="Comma 3 7 2 2" xfId="373" xr:uid="{00000000-0005-0000-0000-000081000000}"/>
    <cellStyle name="Comma 3 7 3" xfId="372" xr:uid="{00000000-0005-0000-0000-000082000000}"/>
    <cellStyle name="Comma 3 8" xfId="103" xr:uid="{00000000-0005-0000-0000-000083000000}"/>
    <cellStyle name="Comma 3 8 2" xfId="374" xr:uid="{00000000-0005-0000-0000-000084000000}"/>
    <cellStyle name="Comma 3 9" xfId="104" xr:uid="{00000000-0005-0000-0000-000085000000}"/>
    <cellStyle name="Comma 3 9 2" xfId="376" xr:uid="{00000000-0005-0000-0000-000086000000}"/>
    <cellStyle name="Comma 3 9 3" xfId="375" xr:uid="{00000000-0005-0000-0000-000087000000}"/>
    <cellStyle name="Comma 4" xfId="105" xr:uid="{00000000-0005-0000-0000-000088000000}"/>
    <cellStyle name="Comma 4 2" xfId="106" xr:uid="{00000000-0005-0000-0000-000089000000}"/>
    <cellStyle name="Comma 4 2 2" xfId="378" xr:uid="{00000000-0005-0000-0000-00008A000000}"/>
    <cellStyle name="Comma 4 3" xfId="377" xr:uid="{00000000-0005-0000-0000-00008B000000}"/>
    <cellStyle name="Comma 5" xfId="107" xr:uid="{00000000-0005-0000-0000-00008C000000}"/>
    <cellStyle name="Comma 5 2" xfId="108" xr:uid="{00000000-0005-0000-0000-00008D000000}"/>
    <cellStyle name="Comma 5 2 2" xfId="380" xr:uid="{00000000-0005-0000-0000-00008E000000}"/>
    <cellStyle name="Comma 5 3" xfId="379" xr:uid="{00000000-0005-0000-0000-00008F000000}"/>
    <cellStyle name="Comma 6" xfId="109" xr:uid="{00000000-0005-0000-0000-000090000000}"/>
    <cellStyle name="Comma 6 2" xfId="110" xr:uid="{00000000-0005-0000-0000-000091000000}"/>
    <cellStyle name="Comma 6 2 2" xfId="382" xr:uid="{00000000-0005-0000-0000-000092000000}"/>
    <cellStyle name="Comma 6 3" xfId="111" xr:uid="{00000000-0005-0000-0000-000093000000}"/>
    <cellStyle name="Comma 6 3 2" xfId="383" xr:uid="{00000000-0005-0000-0000-000094000000}"/>
    <cellStyle name="Comma 6 4" xfId="381" xr:uid="{00000000-0005-0000-0000-000095000000}"/>
    <cellStyle name="Comma 7" xfId="112" xr:uid="{00000000-0005-0000-0000-000096000000}"/>
    <cellStyle name="Comma 7 2" xfId="113" xr:uid="{00000000-0005-0000-0000-000097000000}"/>
    <cellStyle name="Comma 7 2 2" xfId="385" xr:uid="{00000000-0005-0000-0000-000098000000}"/>
    <cellStyle name="Comma 7 3" xfId="386" xr:uid="{00000000-0005-0000-0000-000099000000}"/>
    <cellStyle name="Comma 7 4" xfId="387" xr:uid="{00000000-0005-0000-0000-00009A000000}"/>
    <cellStyle name="Comma 7 5" xfId="384" xr:uid="{00000000-0005-0000-0000-00009B000000}"/>
    <cellStyle name="Comma 8" xfId="114" xr:uid="{00000000-0005-0000-0000-00009C000000}"/>
    <cellStyle name="Comma 8 2" xfId="388" xr:uid="{00000000-0005-0000-0000-00009D000000}"/>
    <cellStyle name="Comma 9" xfId="115" xr:uid="{00000000-0005-0000-0000-00009E000000}"/>
    <cellStyle name="Comma 9 2" xfId="346" xr:uid="{00000000-0005-0000-0000-00009F000000}"/>
    <cellStyle name="Comma 9 2 2" xfId="550" xr:uid="{00000000-0005-0000-0000-0000A0000000}"/>
    <cellStyle name="Comma 9 3" xfId="557" xr:uid="{00000000-0005-0000-0000-0000A1000000}"/>
    <cellStyle name="Comma 9 3 2" xfId="563" xr:uid="{F6BF4C01-4625-4D44-BFF0-695CF52B7AF4}"/>
    <cellStyle name="Comma 9 4" xfId="389" xr:uid="{00000000-0005-0000-0000-0000A2000000}"/>
    <cellStyle name="Comma_spp calc - revsd rev crd" xfId="116" xr:uid="{00000000-0005-0000-0000-0000A3000000}"/>
    <cellStyle name="Comma0" xfId="117" xr:uid="{00000000-0005-0000-0000-0000A4000000}"/>
    <cellStyle name="Comma0 2" xfId="390" xr:uid="{00000000-0005-0000-0000-0000A5000000}"/>
    <cellStyle name="Currency" xfId="118" builtinId="4"/>
    <cellStyle name="Currency [0] 2" xfId="554" xr:uid="{00000000-0005-0000-0000-0000A7000000}"/>
    <cellStyle name="Currency 10" xfId="553" xr:uid="{00000000-0005-0000-0000-0000A8000000}"/>
    <cellStyle name="Currency 2" xfId="119" xr:uid="{00000000-0005-0000-0000-0000A9000000}"/>
    <cellStyle name="Currency 2 2" xfId="120" xr:uid="{00000000-0005-0000-0000-0000AA000000}"/>
    <cellStyle name="Currency 2 2 2" xfId="392" xr:uid="{00000000-0005-0000-0000-0000AB000000}"/>
    <cellStyle name="Currency 2 3" xfId="391" xr:uid="{00000000-0005-0000-0000-0000AC000000}"/>
    <cellStyle name="Currency 3" xfId="121" xr:uid="{00000000-0005-0000-0000-0000AD000000}"/>
    <cellStyle name="Currency 3 2" xfId="122" xr:uid="{00000000-0005-0000-0000-0000AE000000}"/>
    <cellStyle name="Currency 3 2 2" xfId="393" xr:uid="{00000000-0005-0000-0000-0000AF000000}"/>
    <cellStyle name="Currency 3 3" xfId="123" xr:uid="{00000000-0005-0000-0000-0000B0000000}"/>
    <cellStyle name="Currency 3 3 2" xfId="124" xr:uid="{00000000-0005-0000-0000-0000B1000000}"/>
    <cellStyle name="Currency 3 3 2 2" xfId="395" xr:uid="{00000000-0005-0000-0000-0000B2000000}"/>
    <cellStyle name="Currency 3 3 3" xfId="125" xr:uid="{00000000-0005-0000-0000-0000B3000000}"/>
    <cellStyle name="Currency 3 3 3 2" xfId="396" xr:uid="{00000000-0005-0000-0000-0000B4000000}"/>
    <cellStyle name="Currency 3 3 4" xfId="394" xr:uid="{00000000-0005-0000-0000-0000B5000000}"/>
    <cellStyle name="Currency 3 4" xfId="126" xr:uid="{00000000-0005-0000-0000-0000B6000000}"/>
    <cellStyle name="Currency 3 4 2" xfId="127" xr:uid="{00000000-0005-0000-0000-0000B7000000}"/>
    <cellStyle name="Currency 3 4 2 2" xfId="398" xr:uid="{00000000-0005-0000-0000-0000B8000000}"/>
    <cellStyle name="Currency 3 4 3" xfId="128" xr:uid="{00000000-0005-0000-0000-0000B9000000}"/>
    <cellStyle name="Currency 3 4 3 2" xfId="399" xr:uid="{00000000-0005-0000-0000-0000BA000000}"/>
    <cellStyle name="Currency 3 4 4" xfId="397" xr:uid="{00000000-0005-0000-0000-0000BB000000}"/>
    <cellStyle name="Currency 3 5" xfId="129" xr:uid="{00000000-0005-0000-0000-0000BC000000}"/>
    <cellStyle name="Currency 3 5 2" xfId="400" xr:uid="{00000000-0005-0000-0000-0000BD000000}"/>
    <cellStyle name="Currency 3 6" xfId="130" xr:uid="{00000000-0005-0000-0000-0000BE000000}"/>
    <cellStyle name="Currency 3 6 2" xfId="131" xr:uid="{00000000-0005-0000-0000-0000BF000000}"/>
    <cellStyle name="Currency 3 6 2 2" xfId="402" xr:uid="{00000000-0005-0000-0000-0000C0000000}"/>
    <cellStyle name="Currency 3 6 3" xfId="401" xr:uid="{00000000-0005-0000-0000-0000C1000000}"/>
    <cellStyle name="Currency 3 7" xfId="132" xr:uid="{00000000-0005-0000-0000-0000C2000000}"/>
    <cellStyle name="Currency 3 7 2" xfId="403" xr:uid="{00000000-0005-0000-0000-0000C3000000}"/>
    <cellStyle name="Currency 3 8" xfId="133" xr:uid="{00000000-0005-0000-0000-0000C4000000}"/>
    <cellStyle name="Currency 3 8 2" xfId="404" xr:uid="{00000000-0005-0000-0000-0000C5000000}"/>
    <cellStyle name="Currency 3 9" xfId="405" xr:uid="{00000000-0005-0000-0000-0000C6000000}"/>
    <cellStyle name="Currency 4" xfId="134" xr:uid="{00000000-0005-0000-0000-0000C7000000}"/>
    <cellStyle name="Currency 4 2" xfId="135" xr:uid="{00000000-0005-0000-0000-0000C8000000}"/>
    <cellStyle name="Currency 4 2 2" xfId="407" xr:uid="{00000000-0005-0000-0000-0000C9000000}"/>
    <cellStyle name="Currency 4 3" xfId="406" xr:uid="{00000000-0005-0000-0000-0000CA000000}"/>
    <cellStyle name="Currency 5" xfId="136" xr:uid="{00000000-0005-0000-0000-0000CB000000}"/>
    <cellStyle name="Currency 5 2" xfId="137" xr:uid="{00000000-0005-0000-0000-0000CC000000}"/>
    <cellStyle name="Currency 5 2 2" xfId="409" xr:uid="{00000000-0005-0000-0000-0000CD000000}"/>
    <cellStyle name="Currency 5 3" xfId="408" xr:uid="{00000000-0005-0000-0000-0000CE000000}"/>
    <cellStyle name="Currency 6" xfId="138" xr:uid="{00000000-0005-0000-0000-0000CF000000}"/>
    <cellStyle name="Currency 6 2" xfId="410" xr:uid="{00000000-0005-0000-0000-0000D0000000}"/>
    <cellStyle name="Currency 7" xfId="139" xr:uid="{00000000-0005-0000-0000-0000D1000000}"/>
    <cellStyle name="Currency 7 2" xfId="411" xr:uid="{00000000-0005-0000-0000-0000D2000000}"/>
    <cellStyle name="Currency 8" xfId="140" xr:uid="{00000000-0005-0000-0000-0000D3000000}"/>
    <cellStyle name="Currency 8 2" xfId="412" xr:uid="{00000000-0005-0000-0000-0000D4000000}"/>
    <cellStyle name="Currency 9" xfId="413" xr:uid="{00000000-0005-0000-0000-0000D5000000}"/>
    <cellStyle name="Currency0" xfId="141" xr:uid="{00000000-0005-0000-0000-0000D6000000}"/>
    <cellStyle name="Currency0 2" xfId="414" xr:uid="{00000000-0005-0000-0000-0000D7000000}"/>
    <cellStyle name="Date" xfId="142" xr:uid="{00000000-0005-0000-0000-0000D8000000}"/>
    <cellStyle name="Date 2" xfId="415" xr:uid="{00000000-0005-0000-0000-0000D9000000}"/>
    <cellStyle name="Explanatory Text" xfId="143" builtinId="53" customBuiltin="1"/>
    <cellStyle name="Explanatory Text 2" xfId="144" xr:uid="{00000000-0005-0000-0000-0000DB000000}"/>
    <cellStyle name="Fixed" xfId="145" xr:uid="{00000000-0005-0000-0000-0000DC000000}"/>
    <cellStyle name="Fixed 2" xfId="416" xr:uid="{00000000-0005-0000-0000-0000DD000000}"/>
    <cellStyle name="Good" xfId="146" builtinId="26" customBuiltin="1"/>
    <cellStyle name="Good 2" xfId="147" xr:uid="{00000000-0005-0000-0000-0000DF000000}"/>
    <cellStyle name="Heading 1" xfId="148" builtinId="16" customBuiltin="1"/>
    <cellStyle name="Heading 1 2" xfId="149" xr:uid="{00000000-0005-0000-0000-0000E1000000}"/>
    <cellStyle name="Heading 2" xfId="150" builtinId="17" customBuiltin="1"/>
    <cellStyle name="Heading 2 2" xfId="151" xr:uid="{00000000-0005-0000-0000-0000E3000000}"/>
    <cellStyle name="Heading 3" xfId="152" builtinId="18" customBuiltin="1"/>
    <cellStyle name="Heading 3 2" xfId="153" xr:uid="{00000000-0005-0000-0000-0000E5000000}"/>
    <cellStyle name="Heading 4" xfId="154" builtinId="19" customBuiltin="1"/>
    <cellStyle name="Heading 4 2" xfId="155" xr:uid="{00000000-0005-0000-0000-0000E7000000}"/>
    <cellStyle name="Heading1" xfId="156" xr:uid="{00000000-0005-0000-0000-0000E8000000}"/>
    <cellStyle name="Heading2" xfId="157" xr:uid="{00000000-0005-0000-0000-0000E9000000}"/>
    <cellStyle name="Input" xfId="158" builtinId="20" customBuiltin="1"/>
    <cellStyle name="Input 2" xfId="159" xr:uid="{00000000-0005-0000-0000-0000EB000000}"/>
    <cellStyle name="Input 2 2" xfId="418" xr:uid="{00000000-0005-0000-0000-0000EC000000}"/>
    <cellStyle name="Input 3" xfId="417" xr:uid="{00000000-0005-0000-0000-0000ED000000}"/>
    <cellStyle name="Linked Cell" xfId="160" builtinId="24" customBuiltin="1"/>
    <cellStyle name="Linked Cell 2" xfId="161" xr:uid="{00000000-0005-0000-0000-0000EF000000}"/>
    <cellStyle name="Neutral" xfId="162" builtinId="28" customBuiltin="1"/>
    <cellStyle name="Neutral 2" xfId="163" xr:uid="{00000000-0005-0000-0000-0000F1000000}"/>
    <cellStyle name="Normal" xfId="0" builtinId="0"/>
    <cellStyle name="Normal 10" xfId="164" xr:uid="{00000000-0005-0000-0000-0000F3000000}"/>
    <cellStyle name="Normal 10 2" xfId="165" xr:uid="{00000000-0005-0000-0000-0000F4000000}"/>
    <cellStyle name="Normal 10 2 2" xfId="420" xr:uid="{00000000-0005-0000-0000-0000F5000000}"/>
    <cellStyle name="Normal 10 3" xfId="166" xr:uid="{00000000-0005-0000-0000-0000F6000000}"/>
    <cellStyle name="Normal 10 3 2" xfId="421" xr:uid="{00000000-0005-0000-0000-0000F7000000}"/>
    <cellStyle name="Normal 10 4" xfId="419" xr:uid="{00000000-0005-0000-0000-0000F8000000}"/>
    <cellStyle name="Normal 11" xfId="167" xr:uid="{00000000-0005-0000-0000-0000F9000000}"/>
    <cellStyle name="Normal 11 2" xfId="168" xr:uid="{00000000-0005-0000-0000-0000FA000000}"/>
    <cellStyle name="Normal 11 2 2" xfId="342" xr:uid="{00000000-0005-0000-0000-0000FB000000}"/>
    <cellStyle name="Normal 11 2 2 2" xfId="565" xr:uid="{EB0AAEEA-E9D7-465B-A531-BB8CB4A79BBB}"/>
    <cellStyle name="Normal 11 3" xfId="169" xr:uid="{00000000-0005-0000-0000-0000FC000000}"/>
    <cellStyle name="Normal 11 3 2" xfId="423" xr:uid="{00000000-0005-0000-0000-0000FD000000}"/>
    <cellStyle name="Normal 11 4" xfId="422" xr:uid="{00000000-0005-0000-0000-0000FE000000}"/>
    <cellStyle name="Normal 12" xfId="170" xr:uid="{00000000-0005-0000-0000-0000FF000000}"/>
    <cellStyle name="Normal 12 2" xfId="171" xr:uid="{00000000-0005-0000-0000-000000010000}"/>
    <cellStyle name="Normal 12 2 2" xfId="425" xr:uid="{00000000-0005-0000-0000-000001010000}"/>
    <cellStyle name="Normal 12 3" xfId="424" xr:uid="{00000000-0005-0000-0000-000002010000}"/>
    <cellStyle name="Normal 12 4" xfId="172" xr:uid="{00000000-0005-0000-0000-000003010000}"/>
    <cellStyle name="Normal 12 4 2" xfId="426" xr:uid="{00000000-0005-0000-0000-000004010000}"/>
    <cellStyle name="Normal 13" xfId="173" xr:uid="{00000000-0005-0000-0000-000005010000}"/>
    <cellStyle name="Normal 13 2" xfId="174" xr:uid="{00000000-0005-0000-0000-000006010000}"/>
    <cellStyle name="Normal 13 2 2" xfId="428" xr:uid="{00000000-0005-0000-0000-000007010000}"/>
    <cellStyle name="Normal 13 3" xfId="427" xr:uid="{00000000-0005-0000-0000-000008010000}"/>
    <cellStyle name="Normal 14" xfId="175" xr:uid="{00000000-0005-0000-0000-000009010000}"/>
    <cellStyle name="Normal 14 2" xfId="176" xr:uid="{00000000-0005-0000-0000-00000A010000}"/>
    <cellStyle name="Normal 14 2 2" xfId="430" xr:uid="{00000000-0005-0000-0000-00000B010000}"/>
    <cellStyle name="Normal 14 3" xfId="429" xr:uid="{00000000-0005-0000-0000-00000C010000}"/>
    <cellStyle name="Normal 15" xfId="177" xr:uid="{00000000-0005-0000-0000-00000D010000}"/>
    <cellStyle name="Normal 15 2" xfId="431" xr:uid="{00000000-0005-0000-0000-00000E010000}"/>
    <cellStyle name="Normal 16" xfId="178" xr:uid="{00000000-0005-0000-0000-00000F010000}"/>
    <cellStyle name="Normal 16 2" xfId="179" xr:uid="{00000000-0005-0000-0000-000010010000}"/>
    <cellStyle name="Normal 16 2 2" xfId="433" xr:uid="{00000000-0005-0000-0000-000011010000}"/>
    <cellStyle name="Normal 16 3" xfId="432" xr:uid="{00000000-0005-0000-0000-000012010000}"/>
    <cellStyle name="Normal 17" xfId="180" xr:uid="{00000000-0005-0000-0000-000013010000}"/>
    <cellStyle name="Normal 17 2" xfId="181" xr:uid="{00000000-0005-0000-0000-000014010000}"/>
    <cellStyle name="Normal 17 2 2" xfId="435" xr:uid="{00000000-0005-0000-0000-000015010000}"/>
    <cellStyle name="Normal 17 3" xfId="434" xr:uid="{00000000-0005-0000-0000-000016010000}"/>
    <cellStyle name="Normal 18" xfId="182" xr:uid="{00000000-0005-0000-0000-000017010000}"/>
    <cellStyle name="Normal 18 2" xfId="183" xr:uid="{00000000-0005-0000-0000-000018010000}"/>
    <cellStyle name="Normal 18 2 2" xfId="437" xr:uid="{00000000-0005-0000-0000-000019010000}"/>
    <cellStyle name="Normal 18 3" xfId="436" xr:uid="{00000000-0005-0000-0000-00001A010000}"/>
    <cellStyle name="Normal 19" xfId="184" xr:uid="{00000000-0005-0000-0000-00001B010000}"/>
    <cellStyle name="Normal 19 2" xfId="185" xr:uid="{00000000-0005-0000-0000-00001C010000}"/>
    <cellStyle name="Normal 19 2 2" xfId="439" xr:uid="{00000000-0005-0000-0000-00001D010000}"/>
    <cellStyle name="Normal 19 3" xfId="438" xr:uid="{00000000-0005-0000-0000-00001E010000}"/>
    <cellStyle name="Normal 2" xfId="186" xr:uid="{00000000-0005-0000-0000-00001F010000}"/>
    <cellStyle name="Normal 2 2" xfId="187" xr:uid="{00000000-0005-0000-0000-000020010000}"/>
    <cellStyle name="Normal 2 2 2" xfId="188" xr:uid="{00000000-0005-0000-0000-000021010000}"/>
    <cellStyle name="Normal 2 2 3" xfId="189" xr:uid="{00000000-0005-0000-0000-000022010000}"/>
    <cellStyle name="Normal 2 2 3 2" xfId="442" xr:uid="{00000000-0005-0000-0000-000023010000}"/>
    <cellStyle name="Normal 2 2 4" xfId="190" xr:uid="{00000000-0005-0000-0000-000024010000}"/>
    <cellStyle name="Normal 2 2 4 2" xfId="443" xr:uid="{00000000-0005-0000-0000-000025010000}"/>
    <cellStyle name="Normal 2 2 5" xfId="441" xr:uid="{00000000-0005-0000-0000-000026010000}"/>
    <cellStyle name="Normal 2 3" xfId="191" xr:uid="{00000000-0005-0000-0000-000027010000}"/>
    <cellStyle name="Normal 2 4" xfId="444" xr:uid="{00000000-0005-0000-0000-000028010000}"/>
    <cellStyle name="Normal 2 5" xfId="192" xr:uid="{00000000-0005-0000-0000-000029010000}"/>
    <cellStyle name="Normal 2 5 2" xfId="193" xr:uid="{00000000-0005-0000-0000-00002A010000}"/>
    <cellStyle name="Normal 2 5 2 2" xfId="446" xr:uid="{00000000-0005-0000-0000-00002B010000}"/>
    <cellStyle name="Normal 2 5 3" xfId="445" xr:uid="{00000000-0005-0000-0000-00002C010000}"/>
    <cellStyle name="Normal 2 6" xfId="440" xr:uid="{00000000-0005-0000-0000-00002D010000}"/>
    <cellStyle name="Normal 20" xfId="194" xr:uid="{00000000-0005-0000-0000-00002E010000}"/>
    <cellStyle name="Normal 20 2" xfId="195" xr:uid="{00000000-0005-0000-0000-00002F010000}"/>
    <cellStyle name="Normal 20 2 2" xfId="448" xr:uid="{00000000-0005-0000-0000-000030010000}"/>
    <cellStyle name="Normal 20 3" xfId="447" xr:uid="{00000000-0005-0000-0000-000031010000}"/>
    <cellStyle name="Normal 21" xfId="196" xr:uid="{00000000-0005-0000-0000-000032010000}"/>
    <cellStyle name="Normal 21 2" xfId="197" xr:uid="{00000000-0005-0000-0000-000033010000}"/>
    <cellStyle name="Normal 21 2 2" xfId="450" xr:uid="{00000000-0005-0000-0000-000034010000}"/>
    <cellStyle name="Normal 21 3" xfId="449" xr:uid="{00000000-0005-0000-0000-000035010000}"/>
    <cellStyle name="Normal 22" xfId="198" xr:uid="{00000000-0005-0000-0000-000036010000}"/>
    <cellStyle name="Normal 22 2" xfId="199" xr:uid="{00000000-0005-0000-0000-000037010000}"/>
    <cellStyle name="Normal 22 2 2" xfId="452" xr:uid="{00000000-0005-0000-0000-000038010000}"/>
    <cellStyle name="Normal 22 3" xfId="451" xr:uid="{00000000-0005-0000-0000-000039010000}"/>
    <cellStyle name="Normal 23" xfId="200" xr:uid="{00000000-0005-0000-0000-00003A010000}"/>
    <cellStyle name="Normal 23 2" xfId="201" xr:uid="{00000000-0005-0000-0000-00003B010000}"/>
    <cellStyle name="Normal 23 2 2" xfId="454" xr:uid="{00000000-0005-0000-0000-00003C010000}"/>
    <cellStyle name="Normal 23 3" xfId="453" xr:uid="{00000000-0005-0000-0000-00003D010000}"/>
    <cellStyle name="Normal 24" xfId="202" xr:uid="{00000000-0005-0000-0000-00003E010000}"/>
    <cellStyle name="Normal 24 2" xfId="203" xr:uid="{00000000-0005-0000-0000-00003F010000}"/>
    <cellStyle name="Normal 24 2 2" xfId="456" xr:uid="{00000000-0005-0000-0000-000040010000}"/>
    <cellStyle name="Normal 24 3" xfId="455" xr:uid="{00000000-0005-0000-0000-000041010000}"/>
    <cellStyle name="Normal 25" xfId="204" xr:uid="{00000000-0005-0000-0000-000042010000}"/>
    <cellStyle name="Normal 25 2" xfId="205" xr:uid="{00000000-0005-0000-0000-000043010000}"/>
    <cellStyle name="Normal 25 2 2" xfId="458" xr:uid="{00000000-0005-0000-0000-000044010000}"/>
    <cellStyle name="Normal 25 3" xfId="457" xr:uid="{00000000-0005-0000-0000-000045010000}"/>
    <cellStyle name="Normal 26" xfId="206" xr:uid="{00000000-0005-0000-0000-000046010000}"/>
    <cellStyle name="Normal 26 2" xfId="207" xr:uid="{00000000-0005-0000-0000-000047010000}"/>
    <cellStyle name="Normal 26 2 2" xfId="460" xr:uid="{00000000-0005-0000-0000-000048010000}"/>
    <cellStyle name="Normal 26 3" xfId="459" xr:uid="{00000000-0005-0000-0000-000049010000}"/>
    <cellStyle name="Normal 27" xfId="208" xr:uid="{00000000-0005-0000-0000-00004A010000}"/>
    <cellStyle name="Normal 27 2" xfId="461" xr:uid="{00000000-0005-0000-0000-00004B010000}"/>
    <cellStyle name="Normal 28" xfId="209" xr:uid="{00000000-0005-0000-0000-00004C010000}"/>
    <cellStyle name="Normal 28 2" xfId="210" xr:uid="{00000000-0005-0000-0000-00004D010000}"/>
    <cellStyle name="Normal 28 2 2" xfId="463" xr:uid="{00000000-0005-0000-0000-00004E010000}"/>
    <cellStyle name="Normal 28 3" xfId="462" xr:uid="{00000000-0005-0000-0000-00004F010000}"/>
    <cellStyle name="Normal 29" xfId="211" xr:uid="{00000000-0005-0000-0000-000050010000}"/>
    <cellStyle name="Normal 29 2" xfId="212" xr:uid="{00000000-0005-0000-0000-000051010000}"/>
    <cellStyle name="Normal 29 2 2" xfId="465" xr:uid="{00000000-0005-0000-0000-000052010000}"/>
    <cellStyle name="Normal 29 3" xfId="464" xr:uid="{00000000-0005-0000-0000-000053010000}"/>
    <cellStyle name="Normal 3" xfId="213" xr:uid="{00000000-0005-0000-0000-000054010000}"/>
    <cellStyle name="Normal 3 2" xfId="214" xr:uid="{00000000-0005-0000-0000-000055010000}"/>
    <cellStyle name="Normal 3 2 2" xfId="467" xr:uid="{00000000-0005-0000-0000-000056010000}"/>
    <cellStyle name="Normal 3 3" xfId="215" xr:uid="{00000000-0005-0000-0000-000057010000}"/>
    <cellStyle name="Normal 3 3 2" xfId="468" xr:uid="{00000000-0005-0000-0000-000058010000}"/>
    <cellStyle name="Normal 3 4" xfId="466" xr:uid="{00000000-0005-0000-0000-000059010000}"/>
    <cellStyle name="Normal 3_Attach O, GG, Support -New Method 2-14-11" xfId="216" xr:uid="{00000000-0005-0000-0000-00005A010000}"/>
    <cellStyle name="Normal 30" xfId="345" xr:uid="{00000000-0005-0000-0000-00005B010000}"/>
    <cellStyle name="Normal 30 2" xfId="469" xr:uid="{00000000-0005-0000-0000-00005C010000}"/>
    <cellStyle name="Normal 31" xfId="348" xr:uid="{00000000-0005-0000-0000-00005D010000}"/>
    <cellStyle name="Normal 31 2" xfId="341" xr:uid="{00000000-0005-0000-0000-00005E010000}"/>
    <cellStyle name="Normal 31 2 2" xfId="556" xr:uid="{00000000-0005-0000-0000-00005F010000}"/>
    <cellStyle name="Normal 31 2 3" xfId="559" xr:uid="{00000000-0005-0000-0000-000060010000}"/>
    <cellStyle name="Normal 31 3" xfId="547" xr:uid="{00000000-0005-0000-0000-000061010000}"/>
    <cellStyle name="Normal 31 3 2" xfId="561" xr:uid="{00000000-0005-0000-0000-000062010000}"/>
    <cellStyle name="Normal 32" xfId="549" xr:uid="{00000000-0005-0000-0000-000063010000}"/>
    <cellStyle name="Normal 33" xfId="552" xr:uid="{00000000-0005-0000-0000-000064010000}"/>
    <cellStyle name="Normal 4" xfId="217" xr:uid="{00000000-0005-0000-0000-000065010000}"/>
    <cellStyle name="Normal 4 10" xfId="470" xr:uid="{00000000-0005-0000-0000-000066010000}"/>
    <cellStyle name="Normal 4 2" xfId="218" xr:uid="{00000000-0005-0000-0000-000067010000}"/>
    <cellStyle name="Normal 4 2 2" xfId="471" xr:uid="{00000000-0005-0000-0000-000068010000}"/>
    <cellStyle name="Normal 4 3" xfId="219" xr:uid="{00000000-0005-0000-0000-000069010000}"/>
    <cellStyle name="Normal 4 3 2" xfId="220" xr:uid="{00000000-0005-0000-0000-00006A010000}"/>
    <cellStyle name="Normal 4 3 2 2" xfId="473" xr:uid="{00000000-0005-0000-0000-00006B010000}"/>
    <cellStyle name="Normal 4 3 3" xfId="221" xr:uid="{00000000-0005-0000-0000-00006C010000}"/>
    <cellStyle name="Normal 4 3 3 2" xfId="474" xr:uid="{00000000-0005-0000-0000-00006D010000}"/>
    <cellStyle name="Normal 4 3 4" xfId="472" xr:uid="{00000000-0005-0000-0000-00006E010000}"/>
    <cellStyle name="Normal 4 4" xfId="222" xr:uid="{00000000-0005-0000-0000-00006F010000}"/>
    <cellStyle name="Normal 4 4 2" xfId="223" xr:uid="{00000000-0005-0000-0000-000070010000}"/>
    <cellStyle name="Normal 4 4 2 2" xfId="476" xr:uid="{00000000-0005-0000-0000-000071010000}"/>
    <cellStyle name="Normal 4 4 3" xfId="224" xr:uid="{00000000-0005-0000-0000-000072010000}"/>
    <cellStyle name="Normal 4 4 3 2" xfId="477" xr:uid="{00000000-0005-0000-0000-000073010000}"/>
    <cellStyle name="Normal 4 4 4" xfId="475" xr:uid="{00000000-0005-0000-0000-000074010000}"/>
    <cellStyle name="Normal 4 5" xfId="225" xr:uid="{00000000-0005-0000-0000-000075010000}"/>
    <cellStyle name="Normal 4 5 2" xfId="478" xr:uid="{00000000-0005-0000-0000-000076010000}"/>
    <cellStyle name="Normal 4 6" xfId="226" xr:uid="{00000000-0005-0000-0000-000077010000}"/>
    <cellStyle name="Normal 4 6 2" xfId="227" xr:uid="{00000000-0005-0000-0000-000078010000}"/>
    <cellStyle name="Normal 4 6 2 2" xfId="480" xr:uid="{00000000-0005-0000-0000-000079010000}"/>
    <cellStyle name="Normal 4 6 3" xfId="479" xr:uid="{00000000-0005-0000-0000-00007A010000}"/>
    <cellStyle name="Normal 4 7" xfId="228" xr:uid="{00000000-0005-0000-0000-00007B010000}"/>
    <cellStyle name="Normal 4 7 2" xfId="229" xr:uid="{00000000-0005-0000-0000-00007C010000}"/>
    <cellStyle name="Normal 4 7 2 2" xfId="482" xr:uid="{00000000-0005-0000-0000-00007D010000}"/>
    <cellStyle name="Normal 4 7 3" xfId="481" xr:uid="{00000000-0005-0000-0000-00007E010000}"/>
    <cellStyle name="Normal 4 8" xfId="230" xr:uid="{00000000-0005-0000-0000-00007F010000}"/>
    <cellStyle name="Normal 4 8 2" xfId="483" xr:uid="{00000000-0005-0000-0000-000080010000}"/>
    <cellStyle name="Normal 4 9" xfId="231" xr:uid="{00000000-0005-0000-0000-000081010000}"/>
    <cellStyle name="Normal 4 9 2" xfId="484" xr:uid="{00000000-0005-0000-0000-000082010000}"/>
    <cellStyle name="Normal 4_PBOP Exhibit 1" xfId="232" xr:uid="{00000000-0005-0000-0000-000083010000}"/>
    <cellStyle name="Normal 5" xfId="233" xr:uid="{00000000-0005-0000-0000-000084010000}"/>
    <cellStyle name="Normal 5 2" xfId="234" xr:uid="{00000000-0005-0000-0000-000085010000}"/>
    <cellStyle name="Normal 5 2 2" xfId="235" xr:uid="{00000000-0005-0000-0000-000086010000}"/>
    <cellStyle name="Normal 5 2 2 2" xfId="487" xr:uid="{00000000-0005-0000-0000-000087010000}"/>
    <cellStyle name="Normal 5 2 3" xfId="486" xr:uid="{00000000-0005-0000-0000-000088010000}"/>
    <cellStyle name="Normal 5 3" xfId="236" xr:uid="{00000000-0005-0000-0000-000089010000}"/>
    <cellStyle name="Normal 5 3 2" xfId="488" xr:uid="{00000000-0005-0000-0000-00008A010000}"/>
    <cellStyle name="Normal 5 4" xfId="237" xr:uid="{00000000-0005-0000-0000-00008B010000}"/>
    <cellStyle name="Normal 5 4 2" xfId="489" xr:uid="{00000000-0005-0000-0000-00008C010000}"/>
    <cellStyle name="Normal 5 5" xfId="485" xr:uid="{00000000-0005-0000-0000-00008D010000}"/>
    <cellStyle name="Normal 6" xfId="238" xr:uid="{00000000-0005-0000-0000-00008E010000}"/>
    <cellStyle name="Normal 6 2" xfId="239" xr:uid="{00000000-0005-0000-0000-00008F010000}"/>
    <cellStyle name="Normal 6 2 2" xfId="240" xr:uid="{00000000-0005-0000-0000-000090010000}"/>
    <cellStyle name="Normal 6 2 2 2" xfId="492" xr:uid="{00000000-0005-0000-0000-000091010000}"/>
    <cellStyle name="Normal 6 2 3" xfId="241" xr:uid="{00000000-0005-0000-0000-000092010000}"/>
    <cellStyle name="Normal 6 2 3 2" xfId="493" xr:uid="{00000000-0005-0000-0000-000093010000}"/>
    <cellStyle name="Normal 6 2 4" xfId="491" xr:uid="{00000000-0005-0000-0000-000094010000}"/>
    <cellStyle name="Normal 6 3" xfId="242" xr:uid="{00000000-0005-0000-0000-000095010000}"/>
    <cellStyle name="Normal 6 3 2" xfId="243" xr:uid="{00000000-0005-0000-0000-000096010000}"/>
    <cellStyle name="Normal 6 3 2 2" xfId="495" xr:uid="{00000000-0005-0000-0000-000097010000}"/>
    <cellStyle name="Normal 6 3 3" xfId="494" xr:uid="{00000000-0005-0000-0000-000098010000}"/>
    <cellStyle name="Normal 6 4" xfId="244" xr:uid="{00000000-0005-0000-0000-000099010000}"/>
    <cellStyle name="Normal 6 4 2" xfId="245" xr:uid="{00000000-0005-0000-0000-00009A010000}"/>
    <cellStyle name="Normal 6 4 2 2" xfId="497" xr:uid="{00000000-0005-0000-0000-00009B010000}"/>
    <cellStyle name="Normal 6 4 3" xfId="496" xr:uid="{00000000-0005-0000-0000-00009C010000}"/>
    <cellStyle name="Normal 6 5" xfId="490" xr:uid="{00000000-0005-0000-0000-00009D010000}"/>
    <cellStyle name="Normal 7" xfId="246" xr:uid="{00000000-0005-0000-0000-00009E010000}"/>
    <cellStyle name="Normal 7 2" xfId="247" xr:uid="{00000000-0005-0000-0000-00009F010000}"/>
    <cellStyle name="Normal 7 2 2" xfId="499" xr:uid="{00000000-0005-0000-0000-0000A0010000}"/>
    <cellStyle name="Normal 7 3" xfId="498" xr:uid="{00000000-0005-0000-0000-0000A1010000}"/>
    <cellStyle name="Normal 8" xfId="248" xr:uid="{00000000-0005-0000-0000-0000A2010000}"/>
    <cellStyle name="Normal 8 2" xfId="249" xr:uid="{00000000-0005-0000-0000-0000A3010000}"/>
    <cellStyle name="Normal 8 2 2" xfId="501" xr:uid="{00000000-0005-0000-0000-0000A4010000}"/>
    <cellStyle name="Normal 8 3" xfId="500" xr:uid="{00000000-0005-0000-0000-0000A5010000}"/>
    <cellStyle name="Normal 9" xfId="250" xr:uid="{00000000-0005-0000-0000-0000A6010000}"/>
    <cellStyle name="Normal 9 2" xfId="251" xr:uid="{00000000-0005-0000-0000-0000A7010000}"/>
    <cellStyle name="Normal 9 2 2" xfId="503" xr:uid="{00000000-0005-0000-0000-0000A8010000}"/>
    <cellStyle name="Normal 9 3" xfId="502" xr:uid="{00000000-0005-0000-0000-0000A9010000}"/>
    <cellStyle name="Normal_21 Exh B" xfId="252" xr:uid="{00000000-0005-0000-0000-0000AA010000}"/>
    <cellStyle name="Normal_ADITAnalysisID090805" xfId="253" xr:uid="{00000000-0005-0000-0000-0000AB010000}"/>
    <cellStyle name="Normal_ADITAnalysisID090805 2" xfId="254" xr:uid="{00000000-0005-0000-0000-0000AC010000}"/>
    <cellStyle name="Normal_ADITAnalysisID090805 2 2" xfId="255" xr:uid="{00000000-0005-0000-0000-0000AD010000}"/>
    <cellStyle name="Normal_ADITAnalysisID090805 2 2 2" xfId="256" xr:uid="{00000000-0005-0000-0000-0000AE010000}"/>
    <cellStyle name="Normal_ADITAnalysisID090805 3" xfId="257" xr:uid="{00000000-0005-0000-0000-0000AF010000}"/>
    <cellStyle name="Normal_ADITAnalysisID090805 4 2 2" xfId="546" xr:uid="{00000000-0005-0000-0000-0000B0010000}"/>
    <cellStyle name="Normal_ATC Projected 2008 Monthly Plant Balances for Attachment O 2 (2)" xfId="258" xr:uid="{00000000-0005-0000-0000-0000B1010000}"/>
    <cellStyle name="Normal_AU Period 2 Rev 4-27-00" xfId="259" xr:uid="{00000000-0005-0000-0000-0000B2010000}"/>
    <cellStyle name="Normal_DeprRateAuth East Dave Davis" xfId="260" xr:uid="{00000000-0005-0000-0000-0000B3010000}"/>
    <cellStyle name="Normal_DeprRateAuth East Dave Davis 2 2" xfId="558" xr:uid="{00000000-0005-0000-0000-0000B4010000}"/>
    <cellStyle name="Normal_FN1 Ratebase Draft SPP template (6-11-04) v2" xfId="261" xr:uid="{00000000-0005-0000-0000-0000B5010000}"/>
    <cellStyle name="Normal_I&amp;M-AK-1" xfId="262" xr:uid="{00000000-0005-0000-0000-0000B6010000}"/>
    <cellStyle name="Normal_Revised 1-21-10  Deprec Summary" xfId="263" xr:uid="{00000000-0005-0000-0000-0000B7010000}"/>
    <cellStyle name="Normal_Schedule O Info for Mike" xfId="264" xr:uid="{00000000-0005-0000-0000-0000B8010000}"/>
    <cellStyle name="Normal_spp calc - revsd rev crd" xfId="265" xr:uid="{00000000-0005-0000-0000-0000B9010000}"/>
    <cellStyle name="Note" xfId="266" builtinId="10" customBuiltin="1"/>
    <cellStyle name="Note 2" xfId="267" xr:uid="{00000000-0005-0000-0000-0000BB010000}"/>
    <cellStyle name="Note 2 2" xfId="505" xr:uid="{00000000-0005-0000-0000-0000BC010000}"/>
    <cellStyle name="Note 3" xfId="504" xr:uid="{00000000-0005-0000-0000-0000BD010000}"/>
    <cellStyle name="Output" xfId="268" builtinId="21" customBuiltin="1"/>
    <cellStyle name="Output 2" xfId="269" xr:uid="{00000000-0005-0000-0000-0000BF010000}"/>
    <cellStyle name="Output 2 2" xfId="507" xr:uid="{00000000-0005-0000-0000-0000C0010000}"/>
    <cellStyle name="Output 3" xfId="506" xr:uid="{00000000-0005-0000-0000-0000C1010000}"/>
    <cellStyle name="Percent" xfId="270" builtinId="5"/>
    <cellStyle name="Percent 10" xfId="343" xr:uid="{00000000-0005-0000-0000-0000C3010000}"/>
    <cellStyle name="Percent 10 2" xfId="508" xr:uid="{00000000-0005-0000-0000-0000C4010000}"/>
    <cellStyle name="Percent 11" xfId="548" xr:uid="{00000000-0005-0000-0000-0000C5010000}"/>
    <cellStyle name="Percent 11 2" xfId="562" xr:uid="{00000000-0005-0000-0000-0000C6010000}"/>
    <cellStyle name="Percent 2" xfId="271" xr:uid="{00000000-0005-0000-0000-0000C7010000}"/>
    <cellStyle name="Percent 2 2" xfId="272" xr:uid="{00000000-0005-0000-0000-0000C8010000}"/>
    <cellStyle name="Percent 2 2 2" xfId="344" xr:uid="{00000000-0005-0000-0000-0000C9010000}"/>
    <cellStyle name="Percent 3" xfId="273" xr:uid="{00000000-0005-0000-0000-0000CA010000}"/>
    <cellStyle name="Percent 3 2" xfId="274" xr:uid="{00000000-0005-0000-0000-0000CB010000}"/>
    <cellStyle name="Percent 3 2 2" xfId="509" xr:uid="{00000000-0005-0000-0000-0000CC010000}"/>
    <cellStyle name="Percent 3 3" xfId="275" xr:uid="{00000000-0005-0000-0000-0000CD010000}"/>
    <cellStyle name="Percent 3 3 2" xfId="276" xr:uid="{00000000-0005-0000-0000-0000CE010000}"/>
    <cellStyle name="Percent 3 3 2 2" xfId="511" xr:uid="{00000000-0005-0000-0000-0000CF010000}"/>
    <cellStyle name="Percent 3 3 3" xfId="277" xr:uid="{00000000-0005-0000-0000-0000D0010000}"/>
    <cellStyle name="Percent 3 3 3 2" xfId="512" xr:uid="{00000000-0005-0000-0000-0000D1010000}"/>
    <cellStyle name="Percent 3 3 4" xfId="510" xr:uid="{00000000-0005-0000-0000-0000D2010000}"/>
    <cellStyle name="Percent 3 4" xfId="278" xr:uid="{00000000-0005-0000-0000-0000D3010000}"/>
    <cellStyle name="Percent 3 4 2" xfId="279" xr:uid="{00000000-0005-0000-0000-0000D4010000}"/>
    <cellStyle name="Percent 3 4 2 2" xfId="514" xr:uid="{00000000-0005-0000-0000-0000D5010000}"/>
    <cellStyle name="Percent 3 4 3" xfId="280" xr:uid="{00000000-0005-0000-0000-0000D6010000}"/>
    <cellStyle name="Percent 3 4 3 2" xfId="515" xr:uid="{00000000-0005-0000-0000-0000D7010000}"/>
    <cellStyle name="Percent 3 4 4" xfId="513" xr:uid="{00000000-0005-0000-0000-0000D8010000}"/>
    <cellStyle name="Percent 3 5" xfId="281" xr:uid="{00000000-0005-0000-0000-0000D9010000}"/>
    <cellStyle name="Percent 3 5 2" xfId="516" xr:uid="{00000000-0005-0000-0000-0000DA010000}"/>
    <cellStyle name="Percent 3 6" xfId="282" xr:uid="{00000000-0005-0000-0000-0000DB010000}"/>
    <cellStyle name="Percent 3 6 2" xfId="283" xr:uid="{00000000-0005-0000-0000-0000DC010000}"/>
    <cellStyle name="Percent 3 6 2 2" xfId="518" xr:uid="{00000000-0005-0000-0000-0000DD010000}"/>
    <cellStyle name="Percent 3 6 3" xfId="517" xr:uid="{00000000-0005-0000-0000-0000DE010000}"/>
    <cellStyle name="Percent 3 7" xfId="284" xr:uid="{00000000-0005-0000-0000-0000DF010000}"/>
    <cellStyle name="Percent 3 7 2" xfId="519" xr:uid="{00000000-0005-0000-0000-0000E0010000}"/>
    <cellStyle name="Percent 3 8" xfId="285" xr:uid="{00000000-0005-0000-0000-0000E1010000}"/>
    <cellStyle name="Percent 3 8 2" xfId="520" xr:uid="{00000000-0005-0000-0000-0000E2010000}"/>
    <cellStyle name="Percent 3 9" xfId="521" xr:uid="{00000000-0005-0000-0000-0000E3010000}"/>
    <cellStyle name="Percent 4" xfId="286" xr:uid="{00000000-0005-0000-0000-0000E4010000}"/>
    <cellStyle name="Percent 4 2" xfId="287" xr:uid="{00000000-0005-0000-0000-0000E5010000}"/>
    <cellStyle name="Percent 4 2 2" xfId="523" xr:uid="{00000000-0005-0000-0000-0000E6010000}"/>
    <cellStyle name="Percent 4 3" xfId="288" xr:uid="{00000000-0005-0000-0000-0000E7010000}"/>
    <cellStyle name="Percent 4 3 2" xfId="524" xr:uid="{00000000-0005-0000-0000-0000E8010000}"/>
    <cellStyle name="Percent 4 4" xfId="522" xr:uid="{00000000-0005-0000-0000-0000E9010000}"/>
    <cellStyle name="Percent 5" xfId="289" xr:uid="{00000000-0005-0000-0000-0000EA010000}"/>
    <cellStyle name="Percent 5 2" xfId="290" xr:uid="{00000000-0005-0000-0000-0000EB010000}"/>
    <cellStyle name="Percent 5 2 2" xfId="526" xr:uid="{00000000-0005-0000-0000-0000EC010000}"/>
    <cellStyle name="Percent 5 3" xfId="525" xr:uid="{00000000-0005-0000-0000-0000ED010000}"/>
    <cellStyle name="Percent 6" xfId="291" xr:uid="{00000000-0005-0000-0000-0000EE010000}"/>
    <cellStyle name="Percent 6 2" xfId="527" xr:uid="{00000000-0005-0000-0000-0000EF010000}"/>
    <cellStyle name="Percent 7" xfId="292" xr:uid="{00000000-0005-0000-0000-0000F0010000}"/>
    <cellStyle name="Percent 7 2" xfId="293" xr:uid="{00000000-0005-0000-0000-0000F1010000}"/>
    <cellStyle name="Percent 7 2 2" xfId="529" xr:uid="{00000000-0005-0000-0000-0000F2010000}"/>
    <cellStyle name="Percent 7 3" xfId="530" xr:uid="{00000000-0005-0000-0000-0000F3010000}"/>
    <cellStyle name="Percent 7 4" xfId="531" xr:uid="{00000000-0005-0000-0000-0000F4010000}"/>
    <cellStyle name="Percent 7 5" xfId="528" xr:uid="{00000000-0005-0000-0000-0000F5010000}"/>
    <cellStyle name="Percent 8" xfId="294" xr:uid="{00000000-0005-0000-0000-0000F6010000}"/>
    <cellStyle name="Percent 8 2" xfId="532" xr:uid="{00000000-0005-0000-0000-0000F7010000}"/>
    <cellStyle name="Percent 9" xfId="295" xr:uid="{00000000-0005-0000-0000-0000F8010000}"/>
    <cellStyle name="Percent 9 2" xfId="533" xr:uid="{00000000-0005-0000-0000-0000F9010000}"/>
    <cellStyle name="PSChar" xfId="296" xr:uid="{00000000-0005-0000-0000-0000FA010000}"/>
    <cellStyle name="PSDate" xfId="297" xr:uid="{00000000-0005-0000-0000-0000FB010000}"/>
    <cellStyle name="PSDec" xfId="298" xr:uid="{00000000-0005-0000-0000-0000FC010000}"/>
    <cellStyle name="PSdesc" xfId="299" xr:uid="{00000000-0005-0000-0000-0000FD010000}"/>
    <cellStyle name="PSdesc 2" xfId="534" xr:uid="{00000000-0005-0000-0000-0000FE010000}"/>
    <cellStyle name="PSHeading" xfId="300" xr:uid="{00000000-0005-0000-0000-0000FF010000}"/>
    <cellStyle name="PSInt" xfId="301" xr:uid="{00000000-0005-0000-0000-000000020000}"/>
    <cellStyle name="PSSpacer" xfId="302" xr:uid="{00000000-0005-0000-0000-000001020000}"/>
    <cellStyle name="PStest" xfId="303" xr:uid="{00000000-0005-0000-0000-000002020000}"/>
    <cellStyle name="PStest 2" xfId="535" xr:uid="{00000000-0005-0000-0000-000003020000}"/>
    <cellStyle name="R00A" xfId="304" xr:uid="{00000000-0005-0000-0000-000004020000}"/>
    <cellStyle name="R00B" xfId="305" xr:uid="{00000000-0005-0000-0000-000005020000}"/>
    <cellStyle name="R00L" xfId="306" xr:uid="{00000000-0005-0000-0000-000006020000}"/>
    <cellStyle name="R01A" xfId="307" xr:uid="{00000000-0005-0000-0000-000007020000}"/>
    <cellStyle name="R01B" xfId="308" xr:uid="{00000000-0005-0000-0000-000008020000}"/>
    <cellStyle name="R01B 2" xfId="536" xr:uid="{00000000-0005-0000-0000-000009020000}"/>
    <cellStyle name="R01H" xfId="309" xr:uid="{00000000-0005-0000-0000-00000A020000}"/>
    <cellStyle name="R01L" xfId="310" xr:uid="{00000000-0005-0000-0000-00000B020000}"/>
    <cellStyle name="R02A" xfId="311" xr:uid="{00000000-0005-0000-0000-00000C020000}"/>
    <cellStyle name="R02B" xfId="312" xr:uid="{00000000-0005-0000-0000-00000D020000}"/>
    <cellStyle name="R02B 2" xfId="537" xr:uid="{00000000-0005-0000-0000-00000E020000}"/>
    <cellStyle name="R02H" xfId="313" xr:uid="{00000000-0005-0000-0000-00000F020000}"/>
    <cellStyle name="R02L" xfId="314" xr:uid="{00000000-0005-0000-0000-000010020000}"/>
    <cellStyle name="R03A" xfId="315" xr:uid="{00000000-0005-0000-0000-000011020000}"/>
    <cellStyle name="R03B" xfId="316" xr:uid="{00000000-0005-0000-0000-000012020000}"/>
    <cellStyle name="R03B 2" xfId="538" xr:uid="{00000000-0005-0000-0000-000013020000}"/>
    <cellStyle name="R03H" xfId="317" xr:uid="{00000000-0005-0000-0000-000014020000}"/>
    <cellStyle name="R03L" xfId="318" xr:uid="{00000000-0005-0000-0000-000015020000}"/>
    <cellStyle name="R04A" xfId="319" xr:uid="{00000000-0005-0000-0000-000016020000}"/>
    <cellStyle name="R04B" xfId="320" xr:uid="{00000000-0005-0000-0000-000017020000}"/>
    <cellStyle name="R04B 2" xfId="539" xr:uid="{00000000-0005-0000-0000-000018020000}"/>
    <cellStyle name="R04H" xfId="321" xr:uid="{00000000-0005-0000-0000-000019020000}"/>
    <cellStyle name="R04L" xfId="322" xr:uid="{00000000-0005-0000-0000-00001A020000}"/>
    <cellStyle name="R05A" xfId="323" xr:uid="{00000000-0005-0000-0000-00001B020000}"/>
    <cellStyle name="R05B" xfId="324" xr:uid="{00000000-0005-0000-0000-00001C020000}"/>
    <cellStyle name="R05B 2" xfId="540" xr:uid="{00000000-0005-0000-0000-00001D020000}"/>
    <cellStyle name="R05H" xfId="325" xr:uid="{00000000-0005-0000-0000-00001E020000}"/>
    <cellStyle name="R05L" xfId="326" xr:uid="{00000000-0005-0000-0000-00001F020000}"/>
    <cellStyle name="R05L 2" xfId="541" xr:uid="{00000000-0005-0000-0000-000020020000}"/>
    <cellStyle name="R06A" xfId="327" xr:uid="{00000000-0005-0000-0000-000021020000}"/>
    <cellStyle name="R06B" xfId="328" xr:uid="{00000000-0005-0000-0000-000022020000}"/>
    <cellStyle name="R06B 2" xfId="542" xr:uid="{00000000-0005-0000-0000-000023020000}"/>
    <cellStyle name="R06H" xfId="329" xr:uid="{00000000-0005-0000-0000-000024020000}"/>
    <cellStyle name="R06L" xfId="330" xr:uid="{00000000-0005-0000-0000-000025020000}"/>
    <cellStyle name="R07A" xfId="331" xr:uid="{00000000-0005-0000-0000-000026020000}"/>
    <cellStyle name="R07B" xfId="332" xr:uid="{00000000-0005-0000-0000-000027020000}"/>
    <cellStyle name="R07B 2" xfId="543" xr:uid="{00000000-0005-0000-0000-000028020000}"/>
    <cellStyle name="R07H" xfId="333" xr:uid="{00000000-0005-0000-0000-000029020000}"/>
    <cellStyle name="R07L" xfId="334" xr:uid="{00000000-0005-0000-0000-00002A020000}"/>
    <cellStyle name="Title" xfId="335" builtinId="15" customBuiltin="1"/>
    <cellStyle name="Title 2" xfId="336" xr:uid="{00000000-0005-0000-0000-00002C020000}"/>
    <cellStyle name="Total" xfId="337" builtinId="25" customBuiltin="1"/>
    <cellStyle name="Total 2" xfId="338" xr:uid="{00000000-0005-0000-0000-00002E020000}"/>
    <cellStyle name="Total 2 2" xfId="545" xr:uid="{00000000-0005-0000-0000-00002F020000}"/>
    <cellStyle name="Total 3" xfId="544" xr:uid="{00000000-0005-0000-0000-000030020000}"/>
    <cellStyle name="Warning Text" xfId="339" builtinId="11" customBuiltin="1"/>
    <cellStyle name="Warning Text 2" xfId="340" xr:uid="{00000000-0005-0000-0000-000032020000}"/>
  </cellStyles>
  <dxfs count="36">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21" dT="2023-03-07T17:57:37.40" personId="{00000000-0000-0000-0000-000000000000}" id="{6224BAA5-CDF4-440B-8930-099B48F187AA}">
    <text>only accounts with other electric revenues in description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393"/>
  <sheetViews>
    <sheetView tabSelected="1" view="pageBreakPreview" zoomScale="70" zoomScaleNormal="85" zoomScaleSheetLayoutView="70" zoomScalePageLayoutView="50" workbookViewId="0">
      <selection activeCell="D9" sqref="D9"/>
    </sheetView>
  </sheetViews>
  <sheetFormatPr defaultColWidth="11.42578125" defaultRowHeight="15"/>
  <cols>
    <col min="1" max="1" width="4.5703125" style="250" customWidth="1"/>
    <col min="2" max="2" width="7.85546875" style="249" customWidth="1"/>
    <col min="3" max="3" width="1.85546875" style="250" customWidth="1"/>
    <col min="4" max="4" width="70.140625" style="250" customWidth="1"/>
    <col min="5" max="5" width="25.5703125" style="250" customWidth="1"/>
    <col min="6" max="6" width="22.42578125" style="250" customWidth="1"/>
    <col min="7" max="7" width="20.5703125" style="250" customWidth="1"/>
    <col min="8" max="8" width="16.140625" style="250" customWidth="1"/>
    <col min="9" max="9" width="13.85546875" style="250" customWidth="1"/>
    <col min="10" max="10" width="21.5703125" style="250" bestFit="1" customWidth="1"/>
    <col min="11" max="11" width="4.5703125" style="250" customWidth="1"/>
    <col min="12" max="12" width="23" style="250" customWidth="1"/>
    <col min="13" max="14" width="15.42578125" style="250" customWidth="1"/>
    <col min="15" max="15" width="8.140625" style="250" customWidth="1"/>
    <col min="16" max="16" width="21.85546875" style="250" customWidth="1"/>
    <col min="17" max="17" width="11.42578125" style="250" customWidth="1"/>
    <col min="18" max="18" width="20.5703125" style="250" bestFit="1" customWidth="1"/>
    <col min="19" max="16384" width="11.42578125" style="250"/>
  </cols>
  <sheetData>
    <row r="1" spans="1:15" ht="15.75">
      <c r="A1" s="669"/>
    </row>
    <row r="2" spans="1:15" ht="15.75">
      <c r="A2" s="669" t="s">
        <v>115</v>
      </c>
    </row>
    <row r="3" spans="1:15" ht="15.75">
      <c r="D3"/>
      <c r="E3" s="251"/>
      <c r="F3" s="251"/>
      <c r="G3" s="252"/>
      <c r="I3" s="253"/>
      <c r="J3" s="253"/>
      <c r="K3" s="253"/>
    </row>
    <row r="4" spans="1:15">
      <c r="J4" s="250" t="s">
        <v>814</v>
      </c>
      <c r="L4" s="614">
        <v>2025</v>
      </c>
    </row>
    <row r="5" spans="1:15">
      <c r="D5" s="254"/>
      <c r="E5" s="254"/>
      <c r="F5" s="30" t="s">
        <v>386</v>
      </c>
      <c r="G5" s="2"/>
      <c r="H5" s="2"/>
      <c r="J5" s="254"/>
      <c r="K5" s="254"/>
      <c r="L5" s="254"/>
      <c r="M5" s="255"/>
      <c r="O5" s="256"/>
    </row>
    <row r="6" spans="1:15">
      <c r="D6" s="254"/>
      <c r="E6" s="257"/>
      <c r="F6" s="30" t="s">
        <v>387</v>
      </c>
      <c r="G6" s="2"/>
      <c r="H6" s="2"/>
      <c r="J6" s="257"/>
      <c r="K6" s="254"/>
      <c r="L6" s="254"/>
      <c r="M6" s="255"/>
    </row>
    <row r="7" spans="1:15">
      <c r="D7" s="254"/>
      <c r="E7" s="254"/>
      <c r="F7" s="3" t="str">
        <f>"Utilizing  Actual/Projected FERC Form 1 Data"</f>
        <v>Utilizing  Actual/Projected FERC Form 1 Data</v>
      </c>
      <c r="G7" s="2"/>
      <c r="H7" s="2"/>
      <c r="J7" s="254"/>
      <c r="K7" s="254"/>
      <c r="L7" s="254"/>
      <c r="M7" s="255"/>
    </row>
    <row r="8" spans="1:15">
      <c r="B8" s="258"/>
      <c r="C8" s="259"/>
      <c r="D8" s="254"/>
      <c r="H8" s="260"/>
      <c r="I8" s="260"/>
      <c r="J8" s="260"/>
      <c r="K8" s="260"/>
      <c r="L8" s="254"/>
      <c r="M8" s="254"/>
    </row>
    <row r="9" spans="1:15" ht="15.75">
      <c r="B9" s="258"/>
      <c r="C9" s="259"/>
      <c r="D9"/>
      <c r="E9" s="254"/>
      <c r="F9" s="261" t="s">
        <v>858</v>
      </c>
      <c r="G9" s="262"/>
      <c r="H9" s="254"/>
      <c r="I9" s="254"/>
      <c r="J9" s="254"/>
      <c r="K9" s="254"/>
      <c r="L9"/>
      <c r="M9" s="254"/>
    </row>
    <row r="10" spans="1:15">
      <c r="B10" s="258"/>
      <c r="C10" s="259"/>
      <c r="D10" s="254"/>
      <c r="E10" s="254"/>
      <c r="F10" s="263"/>
      <c r="G10" s="262"/>
      <c r="H10" s="254"/>
      <c r="I10" s="254"/>
      <c r="J10" s="254"/>
      <c r="K10" s="254"/>
      <c r="L10"/>
      <c r="M10" s="254"/>
    </row>
    <row r="11" spans="1:15">
      <c r="B11" s="258" t="s">
        <v>170</v>
      </c>
      <c r="C11" s="259"/>
      <c r="D11" s="254"/>
      <c r="E11" s="254"/>
      <c r="F11" s="254"/>
      <c r="G11" s="262"/>
      <c r="H11" s="254"/>
      <c r="I11" s="254"/>
      <c r="J11" s="254"/>
      <c r="K11" s="254"/>
      <c r="L11" s="259" t="s">
        <v>116</v>
      </c>
      <c r="M11" s="254"/>
    </row>
    <row r="12" spans="1:15" ht="15.75" thickBot="1">
      <c r="B12" s="264" t="s">
        <v>118</v>
      </c>
      <c r="C12" s="259"/>
      <c r="D12" s="254"/>
      <c r="E12" s="259"/>
      <c r="F12" s="254"/>
      <c r="G12" s="254"/>
      <c r="H12" s="254"/>
      <c r="I12" s="254"/>
      <c r="J12" s="254"/>
      <c r="K12" s="254"/>
      <c r="L12" s="265" t="s">
        <v>171</v>
      </c>
      <c r="M12" s="254"/>
    </row>
    <row r="13" spans="1:15">
      <c r="B13" s="258">
        <f>1</f>
        <v>1</v>
      </c>
      <c r="C13" s="259"/>
      <c r="D13" s="2" t="s">
        <v>112</v>
      </c>
      <c r="E13" s="254" t="str">
        <f>"(ln "&amp;B221&amp;")"</f>
        <v>(ln 130)</v>
      </c>
      <c r="F13" s="254"/>
      <c r="G13" s="257"/>
      <c r="H13" s="266"/>
      <c r="I13" s="254"/>
      <c r="J13" s="254"/>
      <c r="K13" s="254"/>
      <c r="L13" s="267">
        <f>+L221</f>
        <v>212983503.33507404</v>
      </c>
      <c r="M13" s="254"/>
    </row>
    <row r="14" spans="1:15" ht="15.75" thickBot="1">
      <c r="B14" s="258"/>
      <c r="C14" s="259"/>
      <c r="E14" s="268"/>
      <c r="F14" s="257"/>
      <c r="G14" s="265" t="s">
        <v>119</v>
      </c>
      <c r="H14" s="257"/>
      <c r="I14" s="269" t="s">
        <v>120</v>
      </c>
      <c r="J14" s="269"/>
      <c r="K14" s="254"/>
      <c r="L14" s="257"/>
      <c r="M14" s="254"/>
    </row>
    <row r="15" spans="1:15">
      <c r="B15" s="258">
        <f>+B13+1</f>
        <v>2</v>
      </c>
      <c r="C15" s="259"/>
      <c r="D15" s="2" t="s">
        <v>169</v>
      </c>
      <c r="E15" s="268" t="s">
        <v>612</v>
      </c>
      <c r="F15" s="257"/>
      <c r="G15" s="270">
        <f>+'WS E Rev Credits'!K31</f>
        <v>10843730.379999999</v>
      </c>
      <c r="H15" s="257"/>
      <c r="I15" s="271" t="s">
        <v>130</v>
      </c>
      <c r="J15" s="272">
        <v>1</v>
      </c>
      <c r="K15" s="257"/>
      <c r="L15" s="273">
        <f>+J15*G15</f>
        <v>10843730.379999999</v>
      </c>
      <c r="M15" s="254"/>
    </row>
    <row r="16" spans="1:15">
      <c r="B16" s="258"/>
      <c r="C16" s="259"/>
      <c r="D16" s="2"/>
      <c r="F16" s="257"/>
      <c r="L16" s="274"/>
      <c r="M16" s="254"/>
    </row>
    <row r="17" spans="2:13">
      <c r="B17" s="258"/>
      <c r="C17" s="259"/>
      <c r="D17" s="2"/>
      <c r="F17" s="257"/>
      <c r="M17" s="254"/>
    </row>
    <row r="18" spans="2:13">
      <c r="B18" s="258">
        <f>+B15+1</f>
        <v>3</v>
      </c>
      <c r="C18" s="259"/>
      <c r="D18" s="2" t="s">
        <v>536</v>
      </c>
      <c r="E18" s="250" t="s">
        <v>613</v>
      </c>
      <c r="F18" s="257"/>
      <c r="L18" s="273">
        <f>'WS E Rev Credits'!K39</f>
        <v>466346.80433206621</v>
      </c>
      <c r="M18" s="254"/>
    </row>
    <row r="19" spans="2:13">
      <c r="B19" s="258"/>
      <c r="C19" s="259"/>
      <c r="D19" s="2"/>
      <c r="F19" s="257"/>
      <c r="M19" s="254"/>
    </row>
    <row r="20" spans="2:13" ht="15.75" thickBot="1">
      <c r="B20" s="258">
        <f>+B18+1</f>
        <v>4</v>
      </c>
      <c r="C20" s="259"/>
      <c r="D20" s="275" t="s">
        <v>465</v>
      </c>
      <c r="E20" s="268" t="str">
        <f>"(ln "&amp;B13&amp;" less  ln " &amp;B15&amp;" plus ln "&amp;B18&amp;")"</f>
        <v>(ln 1 less  ln 2 plus ln 3)</v>
      </c>
      <c r="F20" s="254"/>
      <c r="H20" s="257"/>
      <c r="I20" s="271"/>
      <c r="J20" s="257"/>
      <c r="K20" s="257"/>
      <c r="L20" s="276">
        <f>+L13-L15+L18</f>
        <v>202606119.75940612</v>
      </c>
      <c r="M20" s="254"/>
    </row>
    <row r="21" spans="2:13" ht="15.75" thickTop="1">
      <c r="B21" s="258"/>
      <c r="C21" s="259"/>
      <c r="D21" s="275"/>
      <c r="E21" s="268"/>
      <c r="F21" s="254"/>
      <c r="H21" s="257"/>
      <c r="I21" s="271"/>
      <c r="J21" s="257"/>
      <c r="K21" s="257"/>
      <c r="L21" s="273"/>
      <c r="M21" s="254"/>
    </row>
    <row r="22" spans="2:13">
      <c r="B22" s="258"/>
      <c r="C22" s="259"/>
      <c r="D22" s="275"/>
      <c r="E22" s="268"/>
      <c r="F22" s="254"/>
      <c r="H22" s="257"/>
      <c r="I22" s="271"/>
      <c r="J22" s="257"/>
      <c r="K22" s="257"/>
      <c r="L22" s="273"/>
      <c r="M22" s="254"/>
    </row>
    <row r="23" spans="2:13">
      <c r="B23" s="258"/>
      <c r="C23" s="259"/>
      <c r="D23" s="2"/>
      <c r="E23" s="268"/>
      <c r="F23" s="254"/>
      <c r="H23" s="257"/>
      <c r="I23" s="271"/>
      <c r="J23" s="257"/>
      <c r="K23" s="257"/>
      <c r="L23" s="273"/>
      <c r="M23" s="254"/>
    </row>
    <row r="24" spans="2:13" ht="15" customHeight="1">
      <c r="B24" s="1209" t="str">
        <f>"MEMO:  The Carrying Charge Calculations on lines "&amp;B30&amp;" to "&amp;B37&amp;" below are used in calculating project revenue requirements billed through PJM Schedule 12, Transmission Enhancement Charges.  The total non-incentive revenue requirements for these projects shown on line "&amp;B27&amp;" is included in the total on line "&amp;B20&amp;"."</f>
        <v>MEMO:  The Carrying Charge Calculations on lines 7 to 12 below are used in calculating project revenue requirements billed through PJM Schedule 12, Transmission Enhancement Charges.  The total non-incentive revenue requirements for these projects shown on line 5 is included in the total on line 4.</v>
      </c>
      <c r="C24" s="1209"/>
      <c r="D24" s="1209"/>
      <c r="E24" s="1209"/>
      <c r="F24" s="1209"/>
      <c r="G24" s="1209"/>
      <c r="H24" s="1209"/>
      <c r="I24" s="1209"/>
    </row>
    <row r="25" spans="2:13" ht="35.25" customHeight="1">
      <c r="B25" s="1209"/>
      <c r="C25" s="1209"/>
      <c r="D25" s="1209"/>
      <c r="E25" s="1209"/>
      <c r="F25" s="1209"/>
      <c r="G25" s="1209"/>
      <c r="H25" s="1209"/>
      <c r="I25" s="1209"/>
    </row>
    <row r="26" spans="2:13" ht="15" customHeight="1">
      <c r="B26" s="277"/>
      <c r="C26" s="277"/>
      <c r="D26" s="277"/>
      <c r="E26" s="277"/>
      <c r="F26" s="277"/>
      <c r="G26" s="277"/>
      <c r="H26" s="277"/>
      <c r="I26" s="277"/>
    </row>
    <row r="27" spans="2:13">
      <c r="B27" s="258">
        <f>+B20+1</f>
        <v>5</v>
      </c>
      <c r="C27" s="259"/>
      <c r="D27" s="2" t="s">
        <v>537</v>
      </c>
      <c r="E27" s="268"/>
      <c r="F27" s="257"/>
      <c r="G27" s="270">
        <f>'WS K TRUE-UP RTEP RR'!N22</f>
        <v>6991118.1370065175</v>
      </c>
      <c r="H27" s="257"/>
      <c r="I27" s="271" t="s">
        <v>130</v>
      </c>
      <c r="J27" s="272">
        <v>1</v>
      </c>
      <c r="K27" s="254"/>
      <c r="L27" s="273">
        <f>+J27*G27</f>
        <v>6991118.1370065175</v>
      </c>
      <c r="M27" s="254"/>
    </row>
    <row r="28" spans="2:13">
      <c r="B28" s="258"/>
      <c r="C28" s="259"/>
      <c r="D28" s="2"/>
      <c r="E28" s="268"/>
      <c r="F28" s="257"/>
      <c r="G28" s="270"/>
      <c r="H28" s="257"/>
      <c r="I28" s="257"/>
      <c r="J28" s="272"/>
      <c r="K28" s="254"/>
      <c r="L28" s="273"/>
      <c r="M28" s="254"/>
    </row>
    <row r="29" spans="2:13">
      <c r="B29" s="258">
        <f>+B27+1</f>
        <v>6</v>
      </c>
      <c r="C29" s="259"/>
      <c r="D29" s="2" t="s">
        <v>374</v>
      </c>
      <c r="E29" s="268"/>
      <c r="F29" s="254"/>
      <c r="G29" s="278"/>
      <c r="H29" s="254"/>
      <c r="J29" s="254"/>
      <c r="K29" s="254"/>
      <c r="M29" s="254"/>
    </row>
    <row r="30" spans="2:13">
      <c r="B30" s="258">
        <f>B29+1</f>
        <v>7</v>
      </c>
      <c r="C30" s="259"/>
      <c r="D30" s="254" t="s">
        <v>251</v>
      </c>
      <c r="E30" s="254" t="str">
        <f>"( (ln "&amp;B13&amp;" - ln "&amp;B175&amp;")/((ln "&amp;$B$95&amp;") x 100) )"</f>
        <v>( (ln 1 - ln 95)/((ln 42) x 100) )</v>
      </c>
      <c r="F30" s="259"/>
      <c r="G30" s="259"/>
      <c r="H30" s="259"/>
      <c r="I30" s="279"/>
      <c r="J30" s="279"/>
      <c r="K30" s="279"/>
      <c r="L30" s="280">
        <f>(L13-L175)/L$95</f>
        <v>0.1464487460987885</v>
      </c>
      <c r="M30" s="254"/>
    </row>
    <row r="31" spans="2:13">
      <c r="B31" s="258">
        <f>B30+1</f>
        <v>8</v>
      </c>
      <c r="C31" s="259"/>
      <c r="D31" s="254" t="s">
        <v>252</v>
      </c>
      <c r="E31" s="254" t="str">
        <f>"(ln "&amp;B30&amp;" / 12)"</f>
        <v>(ln 7 / 12)</v>
      </c>
      <c r="F31" s="259"/>
      <c r="G31" s="259"/>
      <c r="H31" s="259"/>
      <c r="I31" s="279"/>
      <c r="J31" s="279"/>
      <c r="K31" s="279"/>
      <c r="L31" s="280">
        <f>L30/12</f>
        <v>1.2204062174899041E-2</v>
      </c>
      <c r="M31" s="254"/>
    </row>
    <row r="32" spans="2:13">
      <c r="B32" s="258"/>
      <c r="C32" s="259"/>
      <c r="D32" s="254"/>
      <c r="E32" s="254"/>
      <c r="F32" s="259"/>
      <c r="G32" s="259"/>
      <c r="H32" s="259"/>
      <c r="I32" s="279"/>
      <c r="J32" s="279"/>
      <c r="K32" s="279"/>
      <c r="L32" s="280"/>
      <c r="M32" s="254"/>
    </row>
    <row r="33" spans="2:13">
      <c r="B33" s="258">
        <f>B31+1</f>
        <v>9</v>
      </c>
      <c r="C33" s="259"/>
      <c r="D33" s="2" t="str">
        <f>"NET PLANT CARRYING CHARGE ON LINE "&amp;B30&amp;" , w/o depreciation or ROE incentives (Note B)"</f>
        <v>NET PLANT CARRYING CHARGE ON LINE 7 , w/o depreciation or ROE incentives (Note B)</v>
      </c>
      <c r="E33" s="254"/>
      <c r="F33" s="259"/>
      <c r="G33" s="259"/>
      <c r="H33" s="259"/>
      <c r="I33" s="279"/>
      <c r="J33" s="279"/>
      <c r="K33" s="279"/>
      <c r="L33" s="280"/>
      <c r="M33" s="254"/>
    </row>
    <row r="34" spans="2:13">
      <c r="B34" s="258">
        <f>B33+1</f>
        <v>10</v>
      </c>
      <c r="C34" s="259"/>
      <c r="D34" s="254" t="s">
        <v>251</v>
      </c>
      <c r="E34" s="254" t="str">
        <f>"( (ln "&amp;B13&amp;" - ln "&amp;B175&amp;" - ln "&amp;B181&amp;" ) /((ln "&amp;$B$95&amp;") x 100) )"</f>
        <v>( (ln 1 - ln 95 - ln 100 ) /((ln 42) x 100) )</v>
      </c>
      <c r="F34" s="259"/>
      <c r="G34" s="259"/>
      <c r="H34" s="259"/>
      <c r="I34" s="279"/>
      <c r="J34" s="279"/>
      <c r="K34" s="279"/>
      <c r="L34" s="280">
        <f>(L13-L175-L181)/L95</f>
        <v>0.11108872081308177</v>
      </c>
      <c r="M34" s="254"/>
    </row>
    <row r="35" spans="2:13">
      <c r="B35" s="258"/>
      <c r="C35" s="259"/>
      <c r="D35" s="254"/>
      <c r="E35" s="254"/>
      <c r="F35" s="259"/>
      <c r="G35" s="259"/>
      <c r="H35" s="259"/>
      <c r="I35" s="279"/>
      <c r="J35" s="279"/>
      <c r="K35" s="279"/>
      <c r="L35" s="280"/>
      <c r="M35" s="254"/>
    </row>
    <row r="36" spans="2:13">
      <c r="B36" s="258">
        <f>B34+1</f>
        <v>11</v>
      </c>
      <c r="C36" s="259"/>
      <c r="D36" s="2" t="str">
        <f>"NET PLANT CARRYING CHARGE ON LINE "&amp;B34&amp;", w/o Return, income taxes or ROE incentives (Note B)"</f>
        <v>NET PLANT CARRYING CHARGE ON LINE 10, w/o Return, income taxes or ROE incentives (Note B)</v>
      </c>
      <c r="E36" s="254"/>
      <c r="F36" s="72"/>
      <c r="G36" s="72"/>
      <c r="H36" s="72"/>
      <c r="I36" s="72"/>
      <c r="J36" s="72"/>
      <c r="K36" s="72"/>
      <c r="L36" s="72"/>
      <c r="M36"/>
    </row>
    <row r="37" spans="2:13">
      <c r="B37" s="258">
        <f>B36+1</f>
        <v>12</v>
      </c>
      <c r="C37" s="259"/>
      <c r="D37" s="254" t="s">
        <v>251</v>
      </c>
      <c r="E37" s="254" t="str">
        <f>"( (ln "&amp;B13&amp;" - ln "&amp;B175&amp;" - ln "&amp;B181&amp;" - ln "&amp;B211&amp;" - ln "&amp;B213&amp;") /((ln "&amp;$B$95&amp;") x 100) )"</f>
        <v>( (ln 1 - ln 95 - ln 100 - ln 125 - ln 126) /((ln 42) x 100) )</v>
      </c>
      <c r="F37" s="72"/>
      <c r="G37" s="72"/>
      <c r="H37" s="72"/>
      <c r="I37" s="72"/>
      <c r="J37" s="72"/>
      <c r="K37" s="72"/>
      <c r="L37" s="281">
        <f>(L13-L175-L181-L211-L213)/L95</f>
        <v>3.0526690179136444E-2</v>
      </c>
      <c r="M37"/>
    </row>
    <row r="38" spans="2:13">
      <c r="B38" s="258"/>
      <c r="C38" s="259"/>
      <c r="D38" s="254"/>
      <c r="E38" s="254"/>
      <c r="F38" s="259"/>
      <c r="G38" s="259"/>
      <c r="H38" s="259"/>
      <c r="I38" s="279"/>
      <c r="J38" s="279"/>
      <c r="K38" s="279"/>
      <c r="L38" s="280"/>
      <c r="M38" s="282"/>
    </row>
    <row r="39" spans="2:13">
      <c r="B39" s="258">
        <f>B37+1</f>
        <v>13</v>
      </c>
      <c r="C39" s="259"/>
      <c r="D39" s="2" t="s">
        <v>592</v>
      </c>
      <c r="E39" s="254"/>
      <c r="F39" s="259"/>
      <c r="G39" s="259"/>
      <c r="H39" s="259"/>
      <c r="I39" s="279"/>
      <c r="J39" s="279"/>
      <c r="K39" s="279"/>
      <c r="L39" s="283">
        <f>'WS K TRUE-UP RTEP RR'!O701</f>
        <v>0</v>
      </c>
      <c r="M39" s="254"/>
    </row>
    <row r="40" spans="2:13">
      <c r="B40" s="258"/>
      <c r="C40" s="259"/>
      <c r="E40" s="254"/>
      <c r="F40" s="259"/>
      <c r="G40" s="259"/>
      <c r="H40" s="259"/>
      <c r="I40" s="279"/>
      <c r="J40" s="279"/>
      <c r="K40" s="279"/>
      <c r="L40" s="280"/>
      <c r="M40" s="254"/>
    </row>
    <row r="41" spans="2:13">
      <c r="B41" s="250"/>
      <c r="C41" s="259"/>
      <c r="E41" s="254"/>
      <c r="F41" s="259"/>
      <c r="G41" s="259"/>
      <c r="H41" s="259"/>
      <c r="I41" s="279"/>
      <c r="J41" s="279"/>
      <c r="K41" s="279"/>
      <c r="L41" s="280"/>
      <c r="M41" s="254"/>
    </row>
    <row r="42" spans="2:13" ht="15.75">
      <c r="B42" s="258">
        <f>+B39+1</f>
        <v>14</v>
      </c>
      <c r="C42" s="259"/>
      <c r="D42" s="1215" t="s">
        <v>433</v>
      </c>
      <c r="E42" s="1215"/>
      <c r="F42" s="1215"/>
      <c r="G42" s="1215"/>
      <c r="H42" s="1215"/>
      <c r="I42" s="1215"/>
      <c r="J42" s="1215"/>
      <c r="K42" s="1215"/>
      <c r="L42" s="1215"/>
      <c r="M42" s="254"/>
    </row>
    <row r="43" spans="2:13">
      <c r="B43" s="258"/>
      <c r="C43" s="259"/>
      <c r="E43" s="254"/>
      <c r="F43" s="259"/>
      <c r="G43" s="259"/>
      <c r="H43" s="259"/>
      <c r="I43" s="279"/>
      <c r="J43" s="279"/>
      <c r="K43" s="279"/>
      <c r="L43" s="280"/>
      <c r="M43" s="254"/>
    </row>
    <row r="44" spans="2:13">
      <c r="B44" s="258">
        <f>+B42+1</f>
        <v>15</v>
      </c>
      <c r="C44" s="259"/>
      <c r="D44" s="2" t="s">
        <v>435</v>
      </c>
      <c r="E44" s="254" t="str">
        <f>"Line "&amp;B152&amp;" Below"</f>
        <v>Line 75 Below</v>
      </c>
      <c r="F44" s="259"/>
      <c r="H44" s="259"/>
      <c r="I44" s="279"/>
      <c r="J44" s="279"/>
      <c r="K44" s="279"/>
      <c r="L44" s="284">
        <f>+G152</f>
        <v>8133285.5999999987</v>
      </c>
      <c r="M44" s="254"/>
    </row>
    <row r="45" spans="2:13">
      <c r="B45" s="258">
        <f>+B44+1</f>
        <v>16</v>
      </c>
      <c r="C45" s="259"/>
      <c r="D45" s="2" t="s">
        <v>473</v>
      </c>
      <c r="E45" s="254"/>
      <c r="F45" s="259"/>
      <c r="H45" s="259"/>
      <c r="I45" s="279"/>
      <c r="J45" s="279"/>
      <c r="K45" s="279"/>
      <c r="L45" s="615">
        <f>'WS F Misc Exp'!D28</f>
        <v>5844544.5299999993</v>
      </c>
      <c r="M45" s="254"/>
    </row>
    <row r="46" spans="2:13">
      <c r="B46" s="258">
        <f>+B45+1</f>
        <v>17</v>
      </c>
      <c r="C46" s="259"/>
      <c r="D46" s="2" t="s">
        <v>474</v>
      </c>
      <c r="E46" s="254"/>
      <c r="F46" s="259"/>
      <c r="H46" s="259"/>
      <c r="I46" s="279"/>
      <c r="J46" s="279"/>
      <c r="K46" s="279"/>
      <c r="L46" s="615">
        <f>'WS F Misc Exp'!D32</f>
        <v>1665375.1199999999</v>
      </c>
      <c r="M46" s="254"/>
    </row>
    <row r="47" spans="2:13">
      <c r="B47" s="258"/>
      <c r="C47" s="259"/>
      <c r="E47" s="254"/>
      <c r="F47" s="259"/>
      <c r="H47" s="259"/>
      <c r="I47" s="279"/>
      <c r="J47" s="279"/>
      <c r="K47" s="279"/>
      <c r="L47" s="259"/>
      <c r="M47" s="254"/>
    </row>
    <row r="48" spans="2:13" ht="15.75" thickBot="1">
      <c r="B48" s="258">
        <f>+B46+1</f>
        <v>18</v>
      </c>
      <c r="C48" s="259"/>
      <c r="D48" s="2" t="s">
        <v>434</v>
      </c>
      <c r="E48" s="266" t="str">
        <f>"(Line "&amp;B44&amp;" - Line "&amp;B45&amp;" - Line "&amp;B46&amp;")"</f>
        <v>(Line 15 - Line 16 - Line 17)</v>
      </c>
      <c r="F48" s="259"/>
      <c r="H48" s="259"/>
      <c r="I48" s="279"/>
      <c r="J48" s="279"/>
      <c r="K48" s="279"/>
      <c r="L48" s="285">
        <f>+L44-L45-L46</f>
        <v>623365.94999999949</v>
      </c>
      <c r="M48" s="254"/>
    </row>
    <row r="49" spans="2:16" ht="15.75" thickTop="1">
      <c r="B49" s="258"/>
      <c r="C49" s="259"/>
      <c r="E49" s="254"/>
      <c r="F49" s="259"/>
      <c r="G49" s="259"/>
      <c r="H49" s="259"/>
      <c r="I49" s="279"/>
      <c r="J49" s="279"/>
      <c r="K49" s="279"/>
      <c r="L49" s="280"/>
      <c r="M49" s="254"/>
    </row>
    <row r="50" spans="2:16">
      <c r="B50" s="258"/>
      <c r="C50" s="259"/>
      <c r="E50" s="254"/>
      <c r="F50" s="259"/>
      <c r="G50" s="259"/>
      <c r="H50" s="259"/>
      <c r="I50" s="279"/>
      <c r="J50" s="279"/>
      <c r="K50" s="279"/>
      <c r="L50" s="280"/>
      <c r="M50" s="254"/>
    </row>
    <row r="51" spans="2:16">
      <c r="B51" s="258"/>
      <c r="C51" s="259"/>
      <c r="E51" s="254"/>
      <c r="F51" s="259"/>
      <c r="G51" s="259"/>
      <c r="H51" s="259"/>
      <c r="I51" s="279"/>
      <c r="J51" s="279"/>
      <c r="K51" s="279"/>
      <c r="L51" s="280"/>
      <c r="M51" s="254"/>
    </row>
    <row r="52" spans="2:16">
      <c r="D52" s="254"/>
      <c r="E52" s="254"/>
      <c r="G52" s="266"/>
      <c r="H52" s="254"/>
      <c r="I52" s="254"/>
      <c r="J52" s="254"/>
      <c r="K52" s="254"/>
      <c r="L52" s="254"/>
      <c r="M52" s="286"/>
    </row>
    <row r="53" spans="2:16">
      <c r="D53" s="254"/>
      <c r="E53" s="254"/>
      <c r="F53" s="259"/>
      <c r="G53" s="266"/>
      <c r="H53" s="254"/>
      <c r="I53" s="254"/>
      <c r="J53" s="254"/>
      <c r="K53" s="254"/>
      <c r="L53" s="254"/>
      <c r="M53" s="286"/>
      <c r="P53" s="287"/>
    </row>
    <row r="54" spans="2:16">
      <c r="D54" s="254"/>
      <c r="E54" s="254"/>
      <c r="F54" s="259" t="str">
        <f>F5</f>
        <v xml:space="preserve">AEP East Companies </v>
      </c>
      <c r="G54" s="266"/>
      <c r="H54" s="254"/>
      <c r="I54" s="254"/>
      <c r="J54" s="254"/>
      <c r="K54" s="254"/>
      <c r="L54" s="254"/>
      <c r="M54" s="286"/>
      <c r="P54" s="287"/>
    </row>
    <row r="55" spans="2:16">
      <c r="D55" s="254"/>
      <c r="E55" s="257"/>
      <c r="F55" s="259" t="str">
        <f>F6</f>
        <v>Transmission Cost of Service Formula Rate</v>
      </c>
      <c r="G55" s="257"/>
      <c r="H55" s="257"/>
      <c r="I55" s="257"/>
      <c r="J55" s="257"/>
      <c r="K55" s="257"/>
      <c r="L55" s="257"/>
      <c r="M55" s="288"/>
      <c r="P55" s="283"/>
    </row>
    <row r="56" spans="2:16">
      <c r="D56" s="254"/>
      <c r="E56" s="257"/>
      <c r="F56" s="271" t="str">
        <f>F7</f>
        <v>Utilizing  Actual/Projected FERC Form 1 Data</v>
      </c>
      <c r="G56" s="257"/>
      <c r="H56" s="257"/>
      <c r="I56" s="257"/>
      <c r="J56" s="257"/>
      <c r="K56" s="257"/>
      <c r="L56" s="257"/>
      <c r="M56" s="289"/>
      <c r="P56" s="283"/>
    </row>
    <row r="57" spans="2:16">
      <c r="D57" s="254"/>
      <c r="E57" s="257"/>
      <c r="F57" s="259"/>
      <c r="G57" s="257"/>
      <c r="H57" s="257"/>
      <c r="I57" s="257"/>
      <c r="J57" s="257"/>
      <c r="K57" s="257"/>
      <c r="L57" s="257"/>
      <c r="M57" s="257"/>
      <c r="P57" s="283"/>
    </row>
    <row r="58" spans="2:16">
      <c r="D58" s="254"/>
      <c r="E58" s="257"/>
      <c r="F58" s="259" t="str">
        <f>F9</f>
        <v xml:space="preserve">Indiana Michigan Power Company </v>
      </c>
      <c r="G58" s="257"/>
      <c r="H58" s="257"/>
      <c r="I58" s="257"/>
      <c r="J58" s="257"/>
      <c r="K58" s="257"/>
      <c r="L58" s="257"/>
      <c r="M58" s="257"/>
      <c r="P58" s="283"/>
    </row>
    <row r="59" spans="2:16">
      <c r="D59" s="254"/>
      <c r="E59" s="271"/>
      <c r="F59" s="271"/>
      <c r="G59" s="271"/>
      <c r="H59" s="271"/>
      <c r="I59" s="271"/>
      <c r="J59" s="271"/>
      <c r="K59" s="271"/>
      <c r="L59" s="257"/>
      <c r="M59" s="257"/>
      <c r="P59" s="283"/>
    </row>
    <row r="60" spans="2:16">
      <c r="D60" s="259" t="s">
        <v>122</v>
      </c>
      <c r="E60" s="259" t="s">
        <v>123</v>
      </c>
      <c r="F60" s="259"/>
      <c r="G60" s="259" t="s">
        <v>124</v>
      </c>
      <c r="H60" s="257" t="s">
        <v>115</v>
      </c>
      <c r="I60" s="1210" t="s">
        <v>125</v>
      </c>
      <c r="J60" s="1211"/>
      <c r="K60" s="257"/>
      <c r="L60" s="260" t="s">
        <v>126</v>
      </c>
      <c r="M60" s="257"/>
    </row>
    <row r="61" spans="2:16">
      <c r="B61" s="250"/>
      <c r="D61" s="72"/>
      <c r="E61" s="72"/>
      <c r="F61" s="72"/>
      <c r="G61" s="284"/>
      <c r="H61" s="257"/>
      <c r="I61" s="257"/>
      <c r="J61" s="291"/>
      <c r="K61" s="257"/>
      <c r="M61" s="257"/>
    </row>
    <row r="62" spans="2:16" ht="15.75">
      <c r="B62" s="292"/>
      <c r="C62" s="259"/>
      <c r="D62" s="72"/>
      <c r="E62" s="293" t="s">
        <v>96</v>
      </c>
      <c r="F62" s="294"/>
      <c r="G62" s="257"/>
      <c r="H62" s="257"/>
      <c r="I62" s="257"/>
      <c r="J62" s="259"/>
      <c r="K62" s="257"/>
      <c r="L62" s="295" t="s">
        <v>119</v>
      </c>
      <c r="M62" s="257"/>
      <c r="P62" s="287"/>
    </row>
    <row r="63" spans="2:16" ht="15.75">
      <c r="B63" s="250"/>
      <c r="C63" s="259"/>
      <c r="D63" s="296" t="s">
        <v>95</v>
      </c>
      <c r="E63" s="297" t="s">
        <v>113</v>
      </c>
      <c r="F63" s="257"/>
      <c r="G63" s="296" t="s">
        <v>82</v>
      </c>
      <c r="H63" s="298"/>
      <c r="I63" s="1212" t="s">
        <v>120</v>
      </c>
      <c r="J63" s="1213"/>
      <c r="K63" s="298"/>
      <c r="L63" s="296" t="s">
        <v>116</v>
      </c>
      <c r="M63" s="257"/>
    </row>
    <row r="64" spans="2:16">
      <c r="B64" s="258" t="str">
        <f>B11</f>
        <v>Line</v>
      </c>
      <c r="C64" s="259"/>
      <c r="D64" s="254"/>
      <c r="E64" s="257"/>
      <c r="F64" s="257"/>
      <c r="G64" s="829" t="s">
        <v>355</v>
      </c>
      <c r="H64" s="257"/>
      <c r="I64" s="257"/>
      <c r="J64" s="257"/>
      <c r="K64" s="257"/>
      <c r="L64" s="257"/>
      <c r="M64" s="257"/>
    </row>
    <row r="65" spans="2:15" ht="15.75" thickBot="1">
      <c r="B65" s="264" t="str">
        <f>B12</f>
        <v>No.</v>
      </c>
      <c r="C65" s="259"/>
      <c r="D65" s="254" t="s">
        <v>83</v>
      </c>
      <c r="E65" s="271"/>
      <c r="F65" s="271"/>
      <c r="G65" s="257"/>
      <c r="H65" s="257"/>
      <c r="I65" s="271"/>
      <c r="J65" s="257"/>
      <c r="K65" s="257"/>
      <c r="L65" s="257"/>
      <c r="M65" s="257"/>
    </row>
    <row r="66" spans="2:15">
      <c r="B66" s="258">
        <f>+B48+1</f>
        <v>19</v>
      </c>
      <c r="C66" s="259"/>
      <c r="D66" s="254" t="s">
        <v>127</v>
      </c>
      <c r="E66" s="257" t="str">
        <f>"(Worksheet A ln "&amp;'WS A - RB Support'!A23&amp;"."&amp;'WS A - RB Support'!C8&amp;")"</f>
        <v>(Worksheet A ln 14.(b))</v>
      </c>
      <c r="F66" s="257"/>
      <c r="G66" s="270">
        <f>'WS A - RB Support'!C23</f>
        <v>5438048971.9330769</v>
      </c>
      <c r="H66" s="270"/>
      <c r="I66" s="271" t="s">
        <v>128</v>
      </c>
      <c r="J66" s="272">
        <v>0</v>
      </c>
      <c r="K66" s="257"/>
      <c r="L66" s="299">
        <f>+J66*G66</f>
        <v>0</v>
      </c>
      <c r="M66" s="257"/>
    </row>
    <row r="67" spans="2:15">
      <c r="B67" s="258">
        <f>+B66+1</f>
        <v>20</v>
      </c>
      <c r="C67" s="259"/>
      <c r="D67" s="254" t="s">
        <v>378</v>
      </c>
      <c r="E67" s="257" t="str">
        <f>"(Worksheet A ln "&amp;'WS A - RB Support'!A23&amp;"."&amp;'WS A - RB Support'!D8&amp;")"</f>
        <v>(Worksheet A ln 14.(c))</v>
      </c>
      <c r="F67" s="257"/>
      <c r="G67" s="299">
        <f>-'WS A - RB Support'!D23</f>
        <v>-349168344.89538455</v>
      </c>
      <c r="H67" s="270"/>
      <c r="I67" s="271" t="s">
        <v>128</v>
      </c>
      <c r="J67" s="272">
        <v>0</v>
      </c>
      <c r="K67" s="257"/>
      <c r="L67" s="299">
        <f>+J67*G67</f>
        <v>0</v>
      </c>
      <c r="M67" s="257"/>
    </row>
    <row r="68" spans="2:15">
      <c r="B68" s="258">
        <f t="shared" ref="B68:B74" si="0">+B67+1</f>
        <v>21</v>
      </c>
      <c r="C68" s="312"/>
      <c r="D68" s="300" t="s">
        <v>129</v>
      </c>
      <c r="E68" s="257" t="str">
        <f>"(Worksheet A ln "&amp;'WS A - RB Support'!A23&amp;"."&amp;'WS A - RB Support'!E8&amp;" &amp; TCOS Ln "&amp;B237&amp;")"</f>
        <v>(Worksheet A ln 14.(d) &amp; TCOS Ln 134)</v>
      </c>
      <c r="F68" s="301"/>
      <c r="G68" s="270">
        <f>'WS A - RB Support'!E23</f>
        <v>1994115329.7376924</v>
      </c>
      <c r="H68" s="270"/>
      <c r="I68" s="302" t="s">
        <v>130</v>
      </c>
      <c r="J68" s="272" t="s">
        <v>115</v>
      </c>
      <c r="K68" s="303"/>
      <c r="L68" s="299">
        <f>+L237</f>
        <v>1934473695.2738461</v>
      </c>
      <c r="M68" s="303"/>
    </row>
    <row r="69" spans="2:15">
      <c r="B69" s="258">
        <f t="shared" si="0"/>
        <v>22</v>
      </c>
      <c r="C69" s="312"/>
      <c r="D69" s="254" t="s">
        <v>379</v>
      </c>
      <c r="E69" s="257" t="str">
        <f>"(Worksheet A ln "&amp;'WS A - RB Support'!A23&amp;"."&amp;'WS A - RB Support'!F8&amp;")"</f>
        <v>(Worksheet A ln 14.(e))</v>
      </c>
      <c r="F69" s="301"/>
      <c r="G69" s="270">
        <f>-'WS A - RB Support'!F23</f>
        <v>0</v>
      </c>
      <c r="H69" s="270"/>
      <c r="I69" s="302" t="s">
        <v>121</v>
      </c>
      <c r="J69" s="272">
        <f>L239</f>
        <v>0.97009118099919955</v>
      </c>
      <c r="K69" s="303"/>
      <c r="L69" s="299">
        <f>+G69*J69</f>
        <v>0</v>
      </c>
      <c r="M69" s="303"/>
    </row>
    <row r="70" spans="2:15">
      <c r="B70" s="258">
        <f>+B69+1</f>
        <v>23</v>
      </c>
      <c r="C70" s="312"/>
      <c r="D70" s="254" t="s">
        <v>131</v>
      </c>
      <c r="E70" s="257" t="str">
        <f>"(Worksheet A ln "&amp;'WS A - RB Support'!A23&amp;"."&amp;'WS A - RB Support'!G8&amp;")"</f>
        <v>(Worksheet A ln 14.(f))</v>
      </c>
      <c r="F70" s="257"/>
      <c r="G70" s="270">
        <f>'WS A - RB Support'!G23</f>
        <v>3690718978.3299999</v>
      </c>
      <c r="H70" s="270"/>
      <c r="I70" s="271" t="s">
        <v>128</v>
      </c>
      <c r="J70" s="272">
        <v>0</v>
      </c>
      <c r="K70" s="257"/>
      <c r="L70" s="299">
        <f>+J70*G70</f>
        <v>0</v>
      </c>
      <c r="M70" s="257"/>
    </row>
    <row r="71" spans="2:15">
      <c r="B71" s="258">
        <f t="shared" si="0"/>
        <v>24</v>
      </c>
      <c r="C71" s="312"/>
      <c r="D71" s="254" t="s">
        <v>376</v>
      </c>
      <c r="E71" s="257" t="str">
        <f>"(Worksheet A ln "&amp;'WS A - RB Support'!A23&amp;"."&amp;'WS A - RB Support'!H8&amp;")"</f>
        <v>(Worksheet A ln 14.(g))</v>
      </c>
      <c r="F71" s="257"/>
      <c r="G71" s="299">
        <f>-'WS A - RB Support'!H23</f>
        <v>0</v>
      </c>
      <c r="H71" s="270"/>
      <c r="I71" s="271" t="s">
        <v>128</v>
      </c>
      <c r="J71" s="272">
        <v>0</v>
      </c>
      <c r="K71" s="257"/>
      <c r="L71" s="299">
        <f>+G71*J71</f>
        <v>0</v>
      </c>
      <c r="M71" s="257"/>
    </row>
    <row r="72" spans="2:15">
      <c r="B72" s="258">
        <f t="shared" si="0"/>
        <v>25</v>
      </c>
      <c r="C72" s="312"/>
      <c r="D72" s="254" t="s">
        <v>132</v>
      </c>
      <c r="E72" s="257" t="str">
        <f>"(Worksheet A ln "&amp;'WS A - RB Support'!A23&amp;"."&amp;'WS A - RB Support'!I8&amp;")"</f>
        <v>(Worksheet A ln 14.(h))</v>
      </c>
      <c r="F72" s="257"/>
      <c r="G72" s="270">
        <f>'WS A - RB Support'!I23</f>
        <v>563441518.95307696</v>
      </c>
      <c r="H72" s="270"/>
      <c r="I72" s="271" t="s">
        <v>133</v>
      </c>
      <c r="J72" s="272">
        <f>L257</f>
        <v>4.9622134516203481E-2</v>
      </c>
      <c r="K72" s="257"/>
      <c r="L72" s="299">
        <f>+J72*G72</f>
        <v>27959170.845503598</v>
      </c>
      <c r="M72" s="257"/>
    </row>
    <row r="73" spans="2:15">
      <c r="B73" s="258">
        <f t="shared" si="0"/>
        <v>26</v>
      </c>
      <c r="C73" s="312"/>
      <c r="D73" s="254" t="s">
        <v>377</v>
      </c>
      <c r="E73" s="257" t="str">
        <f>"(Worksheet A ln "&amp;'WS A - RB Support'!A23&amp;"."&amp;'WS A - RB Support'!J8&amp;")"</f>
        <v>(Worksheet A ln 14.(i))</v>
      </c>
      <c r="F73" s="257"/>
      <c r="G73" s="299">
        <f>-'WS A - RB Support'!J23</f>
        <v>-1308356.1700000002</v>
      </c>
      <c r="H73" s="270"/>
      <c r="I73" s="271" t="s">
        <v>133</v>
      </c>
      <c r="J73" s="272">
        <f>L257</f>
        <v>4.9622134516203481E-2</v>
      </c>
      <c r="K73" s="257"/>
      <c r="L73" s="299">
        <f>+G73*J73</f>
        <v>-64923.425862844801</v>
      </c>
      <c r="M73" s="257"/>
    </row>
    <row r="74" spans="2:15">
      <c r="B74" s="258">
        <f t="shared" si="0"/>
        <v>27</v>
      </c>
      <c r="C74" s="312"/>
      <c r="D74" s="254" t="s">
        <v>134</v>
      </c>
      <c r="E74" s="257" t="str">
        <f>"(Worksheet A ln "&amp;'WS A - RB Support'!A23&amp;"."&amp;'WS A - RB Support'!K8&amp;")"</f>
        <v>(Worksheet A ln 14.(j))</v>
      </c>
      <c r="F74" s="257"/>
      <c r="G74" s="270">
        <f>'WS A - RB Support'!K23</f>
        <v>70420969.508461565</v>
      </c>
      <c r="H74" s="270"/>
      <c r="I74" s="271" t="s">
        <v>133</v>
      </c>
      <c r="J74" s="272">
        <f>L257</f>
        <v>4.9622134516203481E-2</v>
      </c>
      <c r="K74" s="257"/>
      <c r="L74" s="1154">
        <f>+J74*G74</f>
        <v>3494438.8217103435</v>
      </c>
      <c r="M74" s="257"/>
      <c r="N74" s="254"/>
      <c r="O74" s="254"/>
    </row>
    <row r="75" spans="2:15">
      <c r="B75" s="258" t="s">
        <v>1390</v>
      </c>
      <c r="C75" s="312"/>
      <c r="D75" s="254" t="s">
        <v>1382</v>
      </c>
      <c r="E75" s="257" t="str">
        <f>"(Worksheet A ln "&amp;'WS A - RB Support'!A23&amp;"."&amp;'WS A - RB Support'!L8&amp;")"</f>
        <v>(Worksheet A ln 14.(k))</v>
      </c>
      <c r="F75" s="257"/>
      <c r="G75" s="270">
        <f>'WS A - RB Support'!L23</f>
        <v>98690.584615384636</v>
      </c>
      <c r="H75" s="270"/>
      <c r="I75" s="271" t="s">
        <v>1406</v>
      </c>
      <c r="J75" s="272">
        <f>L246</f>
        <v>0</v>
      </c>
      <c r="K75" s="257"/>
      <c r="L75" s="1154">
        <f t="shared" ref="L75:L76" si="1">+J75*G75</f>
        <v>0</v>
      </c>
      <c r="M75" s="257"/>
      <c r="N75" s="254"/>
      <c r="O75" s="254"/>
    </row>
    <row r="76" spans="2:15" ht="15.75" thickBot="1">
      <c r="B76" s="258" t="s">
        <v>1391</v>
      </c>
      <c r="C76" s="312"/>
      <c r="D76" s="254" t="s">
        <v>1392</v>
      </c>
      <c r="E76" s="257" t="str">
        <f>"(Worksheet A ln "&amp;'WS A - RB Support'!A23&amp;"."&amp;'WS A - RB Support'!M8&amp;")"</f>
        <v>(Worksheet A ln 14.(l))</v>
      </c>
      <c r="F76" s="257"/>
      <c r="G76" s="305">
        <f>'WS A - RB Support'!M23</f>
        <v>0</v>
      </c>
      <c r="H76" s="270"/>
      <c r="I76" s="271" t="s">
        <v>1406</v>
      </c>
      <c r="J76" s="272">
        <f>L246</f>
        <v>0</v>
      </c>
      <c r="K76" s="257"/>
      <c r="L76" s="360">
        <f t="shared" si="1"/>
        <v>0</v>
      </c>
      <c r="M76" s="257"/>
      <c r="N76" s="254"/>
      <c r="O76" s="254"/>
    </row>
    <row r="77" spans="2:15" ht="15.75">
      <c r="B77" s="258">
        <f>+B74+1</f>
        <v>28</v>
      </c>
      <c r="C77" s="312"/>
      <c r="D77" s="254" t="s">
        <v>48</v>
      </c>
      <c r="E77" s="259" t="str">
        <f>"(sum lns "&amp;B66&amp;" to "&amp;B74&amp;")"</f>
        <v>(sum lns 19 to 27)</v>
      </c>
      <c r="F77" s="4"/>
      <c r="G77" s="270">
        <f>SUM(G66:G76)</f>
        <v>11406367757.981539</v>
      </c>
      <c r="H77" s="270"/>
      <c r="I77" s="293" t="s">
        <v>750</v>
      </c>
      <c r="J77" s="306">
        <f>+L77/G77</f>
        <v>0.1723477993368745</v>
      </c>
      <c r="K77" s="257"/>
      <c r="L77" s="270">
        <f>SUM(L66:L76)</f>
        <v>1965862381.5151973</v>
      </c>
      <c r="M77" s="257"/>
      <c r="N77" s="254"/>
      <c r="O77" s="254"/>
    </row>
    <row r="78" spans="2:15" ht="15.75">
      <c r="B78" s="258"/>
      <c r="C78" s="259"/>
      <c r="D78" s="254"/>
      <c r="E78" s="82"/>
      <c r="F78" s="4"/>
      <c r="G78" s="270"/>
      <c r="H78" s="270"/>
      <c r="I78" s="294" t="s">
        <v>217</v>
      </c>
      <c r="J78" s="307">
        <f>+L68/(G70+G68+G71)</f>
        <v>0.34028673316450359</v>
      </c>
      <c r="K78" s="257"/>
      <c r="L78" s="270"/>
      <c r="M78" s="257"/>
      <c r="N78" s="308"/>
      <c r="O78" s="254"/>
    </row>
    <row r="79" spans="2:15">
      <c r="B79" s="258">
        <f>+B77+1</f>
        <v>29</v>
      </c>
      <c r="C79" s="259"/>
      <c r="D79" s="254" t="s">
        <v>24</v>
      </c>
      <c r="E79" s="271"/>
      <c r="F79" s="271"/>
      <c r="G79" s="270"/>
      <c r="H79" s="309"/>
      <c r="I79" s="271"/>
      <c r="J79" s="310"/>
      <c r="K79" s="257"/>
      <c r="L79" s="270"/>
      <c r="M79" s="257"/>
      <c r="N79" s="257"/>
      <c r="O79" s="257"/>
    </row>
    <row r="80" spans="2:15">
      <c r="B80" s="258">
        <f>+B79+1</f>
        <v>30</v>
      </c>
      <c r="C80" s="259"/>
      <c r="D80" s="254" t="str">
        <f>+D66</f>
        <v xml:space="preserve">  Production</v>
      </c>
      <c r="E80" s="257" t="str">
        <f>"(Worksheet A ln "&amp;'WS A - RB Support'!A42&amp;"."&amp;'WS A - RB Support'!C27&amp;")"</f>
        <v>(Worksheet A ln 28.(b))</v>
      </c>
      <c r="F80" s="257"/>
      <c r="G80" s="270">
        <f>'WS A - RB Support'!C42</f>
        <v>3153274735.2246151</v>
      </c>
      <c r="H80" s="270"/>
      <c r="I80" s="271" t="s">
        <v>128</v>
      </c>
      <c r="J80" s="272">
        <v>0</v>
      </c>
      <c r="K80" s="257"/>
      <c r="L80" s="299">
        <f>+J80*G80</f>
        <v>0</v>
      </c>
      <c r="M80" s="257"/>
      <c r="N80" s="257"/>
      <c r="O80" s="257"/>
    </row>
    <row r="81" spans="2:15">
      <c r="B81" s="258">
        <f t="shared" ref="B81:B88" si="2">+B80+1</f>
        <v>31</v>
      </c>
      <c r="C81" s="259"/>
      <c r="D81" s="254" t="s">
        <v>378</v>
      </c>
      <c r="E81" s="257" t="str">
        <f>"(Worksheet A ln "&amp;'WS A - RB Support'!A42&amp;"."&amp;'WS A - RB Support'!D27&amp;")"</f>
        <v>(Worksheet A ln 28.(c))</v>
      </c>
      <c r="F81" s="257"/>
      <c r="G81" s="299">
        <f>-'WS A - RB Support'!D42</f>
        <v>-257784603.11692312</v>
      </c>
      <c r="H81" s="270"/>
      <c r="I81" s="271" t="s">
        <v>128</v>
      </c>
      <c r="J81" s="272">
        <v>0</v>
      </c>
      <c r="K81" s="257"/>
      <c r="L81" s="299">
        <f>+J81*G81</f>
        <v>0</v>
      </c>
      <c r="M81" s="257"/>
      <c r="N81" s="257"/>
      <c r="O81" s="257"/>
    </row>
    <row r="82" spans="2:15" ht="15.75">
      <c r="B82" s="258">
        <f t="shared" si="2"/>
        <v>32</v>
      </c>
      <c r="C82" s="312"/>
      <c r="D82" s="300" t="str">
        <f>D68</f>
        <v xml:space="preserve">  Transmission</v>
      </c>
      <c r="E82" s="257" t="str">
        <f>"(Worksheet A ln "&amp;'WS A - RB Support'!A42&amp;"."&amp;'WS A - RB Support'!E27&amp;" &amp; "&amp;"ln "&amp;'WS A - RB Support'!A64&amp;"."&amp;'WS A - RB Support'!D47&amp;")"</f>
        <v>(Worksheet A ln 28.(d) &amp; ln 43.(c))</v>
      </c>
      <c r="F82" s="301"/>
      <c r="G82" s="304">
        <f>'WS A - RB Support'!E42</f>
        <v>494210914.8584615</v>
      </c>
      <c r="H82" s="270"/>
      <c r="I82" s="828" t="s">
        <v>27</v>
      </c>
      <c r="J82" s="311">
        <f>L82/G82</f>
        <v>0.97155398321688669</v>
      </c>
      <c r="K82" s="303"/>
      <c r="L82" s="299">
        <f>'WS A - RB Support'!D64</f>
        <v>480152582.87999994</v>
      </c>
      <c r="M82" s="303"/>
      <c r="N82" s="257"/>
      <c r="O82" s="257"/>
    </row>
    <row r="83" spans="2:15" ht="15.75">
      <c r="B83" s="258">
        <f t="shared" si="2"/>
        <v>33</v>
      </c>
      <c r="C83" s="312"/>
      <c r="D83" s="254" t="s">
        <v>379</v>
      </c>
      <c r="E83" s="257" t="str">
        <f>"(Worksheet A ln "&amp;'WS A - RB Support'!A42&amp;"."&amp;'WS A - RB Support'!F27&amp;")"</f>
        <v>(Worksheet A ln 28.(e))</v>
      </c>
      <c r="F83" s="301"/>
      <c r="G83" s="299">
        <f>-'WS A - RB Support'!F42</f>
        <v>0</v>
      </c>
      <c r="H83" s="270"/>
      <c r="I83" s="828" t="s">
        <v>27</v>
      </c>
      <c r="J83" s="272">
        <f>+J82</f>
        <v>0.97155398321688669</v>
      </c>
      <c r="K83" s="303"/>
      <c r="L83" s="299">
        <f t="shared" ref="L83:L90" si="3">+J83*G83</f>
        <v>0</v>
      </c>
      <c r="M83" s="303"/>
      <c r="N83" s="257"/>
      <c r="O83" s="257"/>
    </row>
    <row r="84" spans="2:15">
      <c r="B84" s="258">
        <f>+B83+1</f>
        <v>34</v>
      </c>
      <c r="C84" s="312"/>
      <c r="D84" s="254" t="str">
        <f>+D70</f>
        <v xml:space="preserve">  Distribution</v>
      </c>
      <c r="E84" s="257" t="str">
        <f>"(Worksheet A ln "&amp;'WS A - RB Support'!A42&amp;"."&amp;'WS A - RB Support'!G27&amp;")"</f>
        <v>(Worksheet A ln 28.(f))</v>
      </c>
      <c r="F84" s="257"/>
      <c r="G84" s="270">
        <f>'WS A - RB Support'!G42</f>
        <v>808342554.73000002</v>
      </c>
      <c r="H84" s="270"/>
      <c r="I84" s="271" t="s">
        <v>128</v>
      </c>
      <c r="J84" s="272">
        <v>0</v>
      </c>
      <c r="K84" s="257"/>
      <c r="L84" s="299">
        <f t="shared" si="3"/>
        <v>0</v>
      </c>
      <c r="M84" s="257"/>
      <c r="N84" s="257"/>
      <c r="O84" s="257"/>
    </row>
    <row r="85" spans="2:15">
      <c r="B85" s="258">
        <f t="shared" si="2"/>
        <v>35</v>
      </c>
      <c r="C85" s="312"/>
      <c r="D85" s="254" t="s">
        <v>376</v>
      </c>
      <c r="E85" s="257" t="str">
        <f>"(Worksheet A ln "&amp;'WS A - RB Support'!A42&amp;"."&amp;'WS A - RB Support'!H27&amp;")"</f>
        <v>(Worksheet A ln 28.(g))</v>
      </c>
      <c r="F85" s="257"/>
      <c r="G85" s="299">
        <f>-'WS A - RB Support'!H42</f>
        <v>0</v>
      </c>
      <c r="H85" s="270"/>
      <c r="I85" s="271" t="s">
        <v>128</v>
      </c>
      <c r="J85" s="272">
        <v>0</v>
      </c>
      <c r="K85" s="257"/>
      <c r="L85" s="299">
        <f t="shared" si="3"/>
        <v>0</v>
      </c>
      <c r="M85" s="257"/>
      <c r="N85" s="257"/>
      <c r="O85" s="257"/>
    </row>
    <row r="86" spans="2:15">
      <c r="B86" s="258">
        <f t="shared" si="2"/>
        <v>36</v>
      </c>
      <c r="C86" s="312"/>
      <c r="D86" s="254" t="str">
        <f>+D72</f>
        <v xml:space="preserve">  General Plant   </v>
      </c>
      <c r="E86" s="257" t="str">
        <f>"(Worksheet A ln "&amp;'WS A - RB Support'!A42&amp;"."&amp;'WS A - RB Support'!I27&amp;")"</f>
        <v>(Worksheet A ln 28.(h))</v>
      </c>
      <c r="F86" s="257"/>
      <c r="G86" s="270">
        <f>'WS A - RB Support'!I42</f>
        <v>189653212.83307689</v>
      </c>
      <c r="H86" s="270"/>
      <c r="I86" s="271" t="s">
        <v>133</v>
      </c>
      <c r="J86" s="272">
        <f>L257</f>
        <v>4.9622134516203481E-2</v>
      </c>
      <c r="K86" s="257"/>
      <c r="L86" s="299">
        <f t="shared" si="3"/>
        <v>9410997.2386331093</v>
      </c>
      <c r="M86" s="257"/>
      <c r="N86" s="257"/>
      <c r="O86" s="257"/>
    </row>
    <row r="87" spans="2:15">
      <c r="B87" s="258">
        <f t="shared" si="2"/>
        <v>37</v>
      </c>
      <c r="C87" s="312"/>
      <c r="D87" s="254" t="s">
        <v>377</v>
      </c>
      <c r="E87" s="257" t="str">
        <f>"(Worksheet A ln "&amp;'WS A - RB Support'!A42&amp;"."&amp;'WS A - RB Support'!J27&amp;")"</f>
        <v>(Worksheet A ln 28.(i))</v>
      </c>
      <c r="F87" s="257"/>
      <c r="G87" s="299">
        <f>-'WS A - RB Support'!J42</f>
        <v>-368891.15846153843</v>
      </c>
      <c r="H87" s="270"/>
      <c r="I87" s="271" t="s">
        <v>133</v>
      </c>
      <c r="J87" s="272">
        <f>L257</f>
        <v>4.9622134516203481E-2</v>
      </c>
      <c r="K87" s="257"/>
      <c r="L87" s="299">
        <f t="shared" si="3"/>
        <v>-18305.166687016594</v>
      </c>
      <c r="M87" s="257"/>
      <c r="N87" s="257"/>
      <c r="O87" s="257"/>
    </row>
    <row r="88" spans="2:15">
      <c r="B88" s="258">
        <f t="shared" si="2"/>
        <v>38</v>
      </c>
      <c r="C88" s="312"/>
      <c r="D88" s="254" t="str">
        <f>+D74</f>
        <v xml:space="preserve">  Intangible Plant</v>
      </c>
      <c r="E88" s="257" t="str">
        <f>"(Worksheet A ln "&amp;'WS A - RB Support'!A42&amp;"."&amp;'WS A - RB Support'!K27&amp;")"</f>
        <v>(Worksheet A ln 28.(j))</v>
      </c>
      <c r="F88" s="257"/>
      <c r="G88" s="270">
        <f>'WS A - RB Support'!K42</f>
        <v>132738134.67692307</v>
      </c>
      <c r="H88" s="270"/>
      <c r="I88" s="271" t="s">
        <v>133</v>
      </c>
      <c r="J88" s="272">
        <f>L257</f>
        <v>4.9622134516203481E-2</v>
      </c>
      <c r="K88" s="257"/>
      <c r="L88" s="1154">
        <f t="shared" si="3"/>
        <v>6586749.5743682105</v>
      </c>
      <c r="M88" s="257"/>
      <c r="N88" s="257"/>
      <c r="O88" s="257"/>
    </row>
    <row r="89" spans="2:15">
      <c r="B89" s="258" t="s">
        <v>1393</v>
      </c>
      <c r="C89" s="312"/>
      <c r="D89" s="254" t="s">
        <v>1382</v>
      </c>
      <c r="E89" s="257" t="str">
        <f>"(Worksheet A ln "&amp;'WS A - RB Support'!A42&amp;"."&amp;'WS A - RB Support'!L27&amp;")"</f>
        <v>(Worksheet A ln 28.(k))</v>
      </c>
      <c r="F89" s="257"/>
      <c r="G89" s="270">
        <f>'WS A - RB Support'!L42</f>
        <v>-468079.67538461543</v>
      </c>
      <c r="H89" s="270"/>
      <c r="I89" s="271" t="s">
        <v>1406</v>
      </c>
      <c r="J89" s="272">
        <f>L246</f>
        <v>0</v>
      </c>
      <c r="K89" s="257"/>
      <c r="L89" s="1154">
        <f t="shared" si="3"/>
        <v>0</v>
      </c>
      <c r="M89" s="257"/>
      <c r="N89" s="257"/>
      <c r="O89" s="257"/>
    </row>
    <row r="90" spans="2:15" ht="15.75" thickBot="1">
      <c r="B90" s="258" t="s">
        <v>1394</v>
      </c>
      <c r="C90" s="312"/>
      <c r="D90" s="254" t="s">
        <v>1392</v>
      </c>
      <c r="E90" s="257" t="str">
        <f>"(Worksheet A ln "&amp;'WS A - RB Support'!A42&amp;"."&amp;'WS A - RB Support'!M27&amp;")"</f>
        <v>(Worksheet A ln 28.(l))</v>
      </c>
      <c r="F90" s="257"/>
      <c r="G90" s="305">
        <f>'WS A - RB Support'!M42</f>
        <v>0</v>
      </c>
      <c r="H90" s="270"/>
      <c r="I90" s="271" t="s">
        <v>1406</v>
      </c>
      <c r="J90" s="272">
        <f>L246</f>
        <v>0</v>
      </c>
      <c r="K90" s="257"/>
      <c r="L90" s="360">
        <f t="shared" si="3"/>
        <v>0</v>
      </c>
      <c r="M90" s="257"/>
      <c r="N90" s="257"/>
      <c r="O90" s="257"/>
    </row>
    <row r="91" spans="2:15">
      <c r="B91" s="258">
        <f>+B88+1</f>
        <v>39</v>
      </c>
      <c r="C91" s="312"/>
      <c r="D91" s="254" t="s">
        <v>47</v>
      </c>
      <c r="E91" s="816" t="str">
        <f>"(sum lns "&amp;B80&amp;" to "&amp;B88&amp;")"</f>
        <v>(sum lns 30 to 38)</v>
      </c>
      <c r="F91" s="490"/>
      <c r="G91" s="270">
        <f>SUM(G80:G90)</f>
        <v>4519597978.3723068</v>
      </c>
      <c r="H91" s="270"/>
      <c r="I91" s="271"/>
      <c r="J91" s="257"/>
      <c r="K91" s="270"/>
      <c r="L91" s="270">
        <f>SUM(L80:L90)</f>
        <v>496132024.52631426</v>
      </c>
      <c r="M91" s="257"/>
      <c r="N91" s="257"/>
      <c r="O91" s="257"/>
    </row>
    <row r="92" spans="2:15">
      <c r="B92" s="258"/>
      <c r="C92" s="259"/>
      <c r="E92" s="190"/>
      <c r="F92" s="490"/>
      <c r="G92" s="270"/>
      <c r="H92" s="270"/>
      <c r="I92" s="271"/>
      <c r="J92" s="313"/>
      <c r="K92" s="257"/>
      <c r="L92" s="270"/>
      <c r="M92" s="257"/>
      <c r="N92" s="257"/>
      <c r="O92" s="257"/>
    </row>
    <row r="93" spans="2:15">
      <c r="B93" s="258">
        <f>+B91+1</f>
        <v>40</v>
      </c>
      <c r="C93" s="259"/>
      <c r="D93" s="254" t="s">
        <v>84</v>
      </c>
      <c r="E93" s="271"/>
      <c r="F93" s="271"/>
      <c r="G93" s="270"/>
      <c r="H93" s="270"/>
      <c r="I93" s="271"/>
      <c r="J93" s="257"/>
      <c r="K93" s="257"/>
      <c r="L93" s="270"/>
      <c r="M93" s="257"/>
      <c r="N93" s="257"/>
      <c r="O93" s="257"/>
    </row>
    <row r="94" spans="2:15">
      <c r="B94" s="258">
        <f t="shared" ref="B94:B98" si="4">+B93+1</f>
        <v>41</v>
      </c>
      <c r="C94" s="312"/>
      <c r="D94" s="254" t="str">
        <f>+D80</f>
        <v xml:space="preserve">  Production</v>
      </c>
      <c r="E94" s="257" t="str">
        <f>" (ln "&amp;B66&amp;" + ln "&amp;B67&amp;" - ln "&amp;B80&amp;" - ln "&amp;B81&amp;")"</f>
        <v xml:space="preserve"> (ln 19 + ln 20 - ln 30 - ln 31)</v>
      </c>
      <c r="F94" s="257"/>
      <c r="G94" s="270">
        <f>G66+G67-G80-G81</f>
        <v>2193390494.9300003</v>
      </c>
      <c r="H94" s="270"/>
      <c r="I94" s="271"/>
      <c r="J94" s="314"/>
      <c r="K94" s="257"/>
      <c r="L94" s="270">
        <f>L66+L67-L80-L81</f>
        <v>0</v>
      </c>
      <c r="M94" s="257"/>
      <c r="N94" s="257"/>
      <c r="O94" s="257"/>
    </row>
    <row r="95" spans="2:15">
      <c r="B95" s="258">
        <f t="shared" si="4"/>
        <v>42</v>
      </c>
      <c r="C95" s="312"/>
      <c r="D95" s="254" t="str">
        <f>+D82</f>
        <v xml:space="preserve">  Transmission</v>
      </c>
      <c r="E95" s="257" t="str">
        <f>" (ln "&amp;B68&amp;" + ln "&amp;B69&amp;" - ln "&amp;B82&amp;" - ln "&amp;B83&amp;")"</f>
        <v xml:space="preserve"> (ln 21 + ln 22 - ln 32 - ln 33)</v>
      </c>
      <c r="F95" s="257"/>
      <c r="G95" s="270">
        <f>+G68+G69-G82-G83</f>
        <v>1499904414.879231</v>
      </c>
      <c r="H95" s="270"/>
      <c r="I95" s="271"/>
      <c r="J95" s="311"/>
      <c r="K95" s="257"/>
      <c r="L95" s="270">
        <f>+L68+L69-L82-L83</f>
        <v>1454321112.3938463</v>
      </c>
      <c r="M95" s="257"/>
      <c r="N95" s="257"/>
      <c r="O95" s="257"/>
    </row>
    <row r="96" spans="2:15">
      <c r="B96" s="258">
        <f>+B95+1</f>
        <v>43</v>
      </c>
      <c r="C96" s="312"/>
      <c r="D96" s="254" t="str">
        <f>+D84</f>
        <v xml:space="preserve">  Distribution</v>
      </c>
      <c r="E96" s="257" t="str">
        <f>" (ln "&amp;B70&amp;" + ln "&amp;B71&amp;" - ln "&amp;B84&amp;" - ln "&amp;B85&amp;")"</f>
        <v xml:space="preserve"> (ln 23 + ln 24 - ln 34 - ln 35)</v>
      </c>
      <c r="F96" s="257"/>
      <c r="G96" s="270">
        <f>+G70+G71-G84-G85</f>
        <v>2882376423.5999999</v>
      </c>
      <c r="H96" s="270"/>
      <c r="I96" s="271"/>
      <c r="J96" s="313"/>
      <c r="K96" s="257"/>
      <c r="L96" s="270">
        <f>+L70+L71-L84-L85</f>
        <v>0</v>
      </c>
      <c r="M96" s="257"/>
      <c r="O96" s="257"/>
    </row>
    <row r="97" spans="2:15">
      <c r="B97" s="258">
        <f t="shared" si="4"/>
        <v>44</v>
      </c>
      <c r="C97" s="312"/>
      <c r="D97" s="254" t="str">
        <f>+D86</f>
        <v xml:space="preserve">  General Plant   </v>
      </c>
      <c r="E97" s="257" t="str">
        <f>" (ln "&amp;B72&amp;" + ln "&amp;B73&amp;" - ln "&amp;B86&amp;" - ln "&amp;B87&amp;")"</f>
        <v xml:space="preserve"> (ln 25 + ln 26 - ln 36 - ln 37)</v>
      </c>
      <c r="F97" s="257"/>
      <c r="G97" s="270">
        <f>+G72+G73-G86-G87</f>
        <v>372848841.10846162</v>
      </c>
      <c r="H97" s="270"/>
      <c r="I97" s="271"/>
      <c r="J97" s="313"/>
      <c r="K97" s="257"/>
      <c r="L97" s="270">
        <f>+L72+L73-L86-L87</f>
        <v>18501555.347694661</v>
      </c>
      <c r="M97" s="257"/>
      <c r="N97" s="257"/>
      <c r="O97" s="257"/>
    </row>
    <row r="98" spans="2:15">
      <c r="B98" s="258">
        <f t="shared" si="4"/>
        <v>45</v>
      </c>
      <c r="C98" s="312"/>
      <c r="D98" s="254" t="str">
        <f>+D88</f>
        <v xml:space="preserve">  Intangible Plant</v>
      </c>
      <c r="E98" s="257" t="str">
        <f>" (ln "&amp;B74&amp;" - ln "&amp;B88&amp;")"</f>
        <v xml:space="preserve"> (ln 27 - ln 38)</v>
      </c>
      <c r="F98" s="257"/>
      <c r="G98" s="270">
        <f>+G74-G88</f>
        <v>-62317165.168461502</v>
      </c>
      <c r="H98" s="270"/>
      <c r="I98" s="271"/>
      <c r="J98" s="313"/>
      <c r="K98" s="257"/>
      <c r="L98" s="270">
        <f>+L74-L88</f>
        <v>-3092310.752657867</v>
      </c>
      <c r="M98" s="257"/>
      <c r="N98" s="257"/>
      <c r="O98" s="257"/>
    </row>
    <row r="99" spans="2:15" ht="15.75" thickBot="1">
      <c r="B99" s="258" t="s">
        <v>1389</v>
      </c>
      <c r="C99" s="312"/>
      <c r="D99" s="254" t="s">
        <v>1382</v>
      </c>
      <c r="E99" s="257" t="str">
        <f>" (ln "&amp;B75&amp;" + ln "&amp;B76&amp;" - ln "&amp;B89&amp;" - ln "&amp;B90&amp;")"</f>
        <v xml:space="preserve"> (ln 27a + ln 27b - ln 38a - ln 38b)</v>
      </c>
      <c r="F99" s="257"/>
      <c r="G99" s="305">
        <f>+G75+G76-G89-G90</f>
        <v>566770.26</v>
      </c>
      <c r="H99" s="270"/>
      <c r="I99" s="271"/>
      <c r="J99" s="313"/>
      <c r="K99" s="257"/>
      <c r="L99" s="305">
        <f>L75+L76-L89-L90</f>
        <v>0</v>
      </c>
      <c r="M99" s="257"/>
      <c r="N99" s="257"/>
      <c r="O99" s="257"/>
    </row>
    <row r="100" spans="2:15" ht="15.75">
      <c r="B100" s="258">
        <f>+B98+1</f>
        <v>46</v>
      </c>
      <c r="C100" s="312"/>
      <c r="D100" s="254" t="s">
        <v>46</v>
      </c>
      <c r="E100" s="254" t="str">
        <f>"(sum lns "&amp;B94&amp;" to "&amp;B98&amp;")"</f>
        <v>(sum lns 41 to 45)</v>
      </c>
      <c r="F100" s="257"/>
      <c r="G100" s="270">
        <f>SUM(G94:G99)</f>
        <v>6886769779.609231</v>
      </c>
      <c r="H100" s="270"/>
      <c r="I100" s="293" t="s">
        <v>751</v>
      </c>
      <c r="J100" s="306">
        <f>+L100/G100</f>
        <v>0.21341360376827906</v>
      </c>
      <c r="K100" s="257"/>
      <c r="L100" s="270">
        <f>SUM(L94:L99)</f>
        <v>1469730356.988883</v>
      </c>
      <c r="M100" s="257"/>
      <c r="N100" s="257"/>
      <c r="O100" s="257"/>
    </row>
    <row r="101" spans="2:15">
      <c r="B101" s="258"/>
      <c r="C101" s="259"/>
      <c r="D101" s="254"/>
      <c r="E101" s="257"/>
      <c r="F101" s="257"/>
      <c r="G101" s="270"/>
      <c r="H101" s="270"/>
      <c r="I101" s="323"/>
      <c r="J101" s="316"/>
      <c r="K101" s="257"/>
      <c r="L101" s="270"/>
      <c r="M101" s="257"/>
      <c r="N101" s="257"/>
      <c r="O101" s="257"/>
    </row>
    <row r="102" spans="2:15">
      <c r="B102" s="258"/>
      <c r="C102" s="259"/>
      <c r="G102" s="4"/>
      <c r="H102" s="4"/>
      <c r="I102" s="82"/>
      <c r="J102" s="4"/>
      <c r="K102" s="4"/>
      <c r="L102" s="4"/>
      <c r="M102"/>
      <c r="N102" s="257"/>
      <c r="O102" s="257"/>
    </row>
    <row r="103" spans="2:15">
      <c r="B103" s="258">
        <f>+B100+1</f>
        <v>47</v>
      </c>
      <c r="C103" s="259"/>
      <c r="D103" s="254" t="s">
        <v>327</v>
      </c>
      <c r="E103" s="257" t="s">
        <v>304</v>
      </c>
      <c r="F103" s="271"/>
      <c r="G103" s="4"/>
      <c r="H103" s="4"/>
      <c r="I103" s="82"/>
      <c r="J103" s="4"/>
      <c r="K103" s="4"/>
      <c r="L103" s="4"/>
      <c r="M103"/>
      <c r="N103" s="257"/>
      <c r="O103" s="257"/>
    </row>
    <row r="104" spans="2:15">
      <c r="B104" s="258">
        <f t="shared" ref="B104:B109" si="5">+B103+1</f>
        <v>48</v>
      </c>
      <c r="C104" s="312"/>
      <c r="D104" s="254" t="s">
        <v>194</v>
      </c>
      <c r="E104" s="257" t="s">
        <v>538</v>
      </c>
      <c r="F104" s="257"/>
      <c r="G104" s="270">
        <f>-'WS B ADIT &amp; ITC'!I17</f>
        <v>-11399333.484999999</v>
      </c>
      <c r="H104" s="270"/>
      <c r="I104" s="271" t="s">
        <v>128</v>
      </c>
      <c r="J104" s="272"/>
      <c r="K104" s="257"/>
      <c r="L104" s="270">
        <f>'WS B ADIT &amp; ITC'!I20</f>
        <v>0</v>
      </c>
      <c r="M104" s="257"/>
      <c r="N104" s="257"/>
      <c r="O104" s="257"/>
    </row>
    <row r="105" spans="2:15">
      <c r="B105" s="258">
        <f t="shared" si="5"/>
        <v>49</v>
      </c>
      <c r="C105" s="312"/>
      <c r="D105" s="254" t="s">
        <v>195</v>
      </c>
      <c r="E105" s="257" t="s">
        <v>539</v>
      </c>
      <c r="F105" s="257"/>
      <c r="G105" s="270">
        <f>-'WS B ADIT &amp; ITC'!I25</f>
        <v>-1108892705.0650001</v>
      </c>
      <c r="H105" s="270"/>
      <c r="I105" s="271" t="s">
        <v>130</v>
      </c>
      <c r="J105" s="272"/>
      <c r="K105" s="257"/>
      <c r="L105" s="270">
        <f>-'WS B ADIT &amp; ITC'!I28</f>
        <v>-250694948.84743869</v>
      </c>
      <c r="M105" s="257"/>
      <c r="N105" s="257"/>
      <c r="O105" s="257"/>
    </row>
    <row r="106" spans="2:15">
      <c r="B106" s="258">
        <f t="shared" si="5"/>
        <v>50</v>
      </c>
      <c r="C106" s="312"/>
      <c r="D106" s="254" t="s">
        <v>196</v>
      </c>
      <c r="E106" s="257" t="s">
        <v>540</v>
      </c>
      <c r="F106" s="257"/>
      <c r="G106" s="270">
        <f>-'WS B ADIT &amp; ITC'!I33</f>
        <v>-958551632.24000013</v>
      </c>
      <c r="H106" s="270"/>
      <c r="I106" s="271" t="s">
        <v>130</v>
      </c>
      <c r="J106" s="272"/>
      <c r="K106" s="257"/>
      <c r="L106" s="270">
        <f>-'WS B ADIT &amp; ITC'!I36</f>
        <v>2326258.3500000238</v>
      </c>
      <c r="M106" s="257"/>
      <c r="N106" s="257"/>
      <c r="O106" s="257"/>
    </row>
    <row r="107" spans="2:15">
      <c r="B107" s="258">
        <f t="shared" si="5"/>
        <v>51</v>
      </c>
      <c r="C107" s="312"/>
      <c r="D107" s="254" t="s">
        <v>197</v>
      </c>
      <c r="E107" s="257" t="s">
        <v>541</v>
      </c>
      <c r="F107" s="257"/>
      <c r="G107" s="270">
        <f>'WS B ADIT &amp; ITC'!I41</f>
        <v>1002920216.79</v>
      </c>
      <c r="H107" s="270"/>
      <c r="I107" s="271" t="s">
        <v>130</v>
      </c>
      <c r="J107" s="272"/>
      <c r="K107" s="257"/>
      <c r="L107" s="270">
        <f>'WS B ADIT &amp; ITC'!I44</f>
        <v>12734428.019999921</v>
      </c>
      <c r="M107" s="257"/>
      <c r="N107" s="257"/>
      <c r="O107" s="257"/>
    </row>
    <row r="108" spans="2:15" ht="15.75" thickBot="1">
      <c r="B108" s="258">
        <f t="shared" si="5"/>
        <v>52</v>
      </c>
      <c r="C108" s="312"/>
      <c r="D108" s="250" t="s">
        <v>135</v>
      </c>
      <c r="E108" s="257" t="s">
        <v>542</v>
      </c>
      <c r="G108" s="305">
        <f>-'WS B ADIT &amp; ITC'!I51</f>
        <v>-646228.51999999955</v>
      </c>
      <c r="H108" s="270"/>
      <c r="I108" s="271" t="s">
        <v>130</v>
      </c>
      <c r="J108" s="272"/>
      <c r="K108" s="257"/>
      <c r="L108" s="305">
        <f>-'WS B ADIT &amp; ITC'!I52</f>
        <v>-510393.5</v>
      </c>
      <c r="M108" s="317"/>
      <c r="N108" s="257"/>
      <c r="O108" s="257"/>
    </row>
    <row r="109" spans="2:15">
      <c r="B109" s="258">
        <f t="shared" si="5"/>
        <v>53</v>
      </c>
      <c r="C109" s="312"/>
      <c r="D109" s="254" t="s">
        <v>93</v>
      </c>
      <c r="E109" s="254" t="str">
        <f>"(sum lns "&amp;B104&amp;" to "&amp;B108&amp;")"</f>
        <v>(sum lns 48 to 52)</v>
      </c>
      <c r="F109" s="257"/>
      <c r="G109" s="270">
        <f>SUM(G104:G108)</f>
        <v>-1076569682.52</v>
      </c>
      <c r="H109" s="4"/>
      <c r="I109" s="271"/>
      <c r="J109" s="318"/>
      <c r="K109" s="257"/>
      <c r="L109" s="270">
        <f>SUM(L104:L108)</f>
        <v>-236144655.97743875</v>
      </c>
      <c r="M109" s="257"/>
      <c r="N109" s="319"/>
    </row>
    <row r="110" spans="2:15">
      <c r="B110" s="258"/>
      <c r="C110" s="259"/>
      <c r="D110" s="254"/>
      <c r="E110" s="257"/>
      <c r="F110" s="257"/>
      <c r="G110" s="270"/>
      <c r="H110" s="4"/>
      <c r="I110" s="271"/>
      <c r="J110" s="313"/>
      <c r="K110" s="257"/>
      <c r="L110" s="270"/>
      <c r="M110" s="257"/>
    </row>
    <row r="111" spans="2:15">
      <c r="B111" s="258">
        <f>+B109+1</f>
        <v>54</v>
      </c>
      <c r="C111" s="259"/>
      <c r="D111" s="254" t="s">
        <v>206</v>
      </c>
      <c r="E111" s="257" t="str">
        <f>"(Worksheet A ln "&amp;'WS A - RB Support'!A69&amp;"."&amp;'WS A - RB Support'!F68&amp;" &amp; "&amp;"ln "&amp;'WS A - RB Support'!A71&amp;"."&amp;'WS A - RB Support'!F68&amp;")"</f>
        <v>(Worksheet A ln 44.(e) &amp; ln 45.(e))</v>
      </c>
      <c r="F111" s="257"/>
      <c r="G111" s="270">
        <f>'WS A - RB Support'!F69</f>
        <v>1320294.3</v>
      </c>
      <c r="H111" s="4"/>
      <c r="I111" s="271" t="s">
        <v>130</v>
      </c>
      <c r="J111" s="272"/>
      <c r="K111" s="257"/>
      <c r="L111" s="270">
        <f>'WS A - RB Support'!F71</f>
        <v>146629</v>
      </c>
      <c r="M111" s="257"/>
    </row>
    <row r="112" spans="2:15">
      <c r="B112" s="258"/>
      <c r="C112" s="259"/>
      <c r="D112" s="254"/>
      <c r="E112" s="257"/>
      <c r="F112" s="257"/>
      <c r="G112" s="270"/>
      <c r="H112" s="4"/>
      <c r="I112" s="271"/>
      <c r="J112" s="272"/>
      <c r="K112" s="257"/>
      <c r="L112" s="270"/>
      <c r="M112" s="257"/>
    </row>
    <row r="113" spans="2:13">
      <c r="B113" s="258">
        <f>+B111+1</f>
        <v>55</v>
      </c>
      <c r="C113" s="259"/>
      <c r="D113" s="254" t="s">
        <v>328</v>
      </c>
      <c r="E113" s="257" t="str">
        <f>"(Worksheet A ln "&amp;'WS A - RB Support'!A80&amp;"."&amp;'WS A - RB Support'!F68&amp;")"</f>
        <v>(Worksheet A ln 51.(e))</v>
      </c>
      <c r="F113" s="257"/>
      <c r="G113" s="270">
        <f>'WS A - RB Support'!F80</f>
        <v>0</v>
      </c>
      <c r="H113" s="4"/>
      <c r="I113" s="271" t="s">
        <v>130</v>
      </c>
      <c r="J113" s="257"/>
      <c r="K113" s="257"/>
      <c r="L113" s="270">
        <f>+G113</f>
        <v>0</v>
      </c>
      <c r="M113" s="257"/>
    </row>
    <row r="114" spans="2:13">
      <c r="B114" s="258"/>
      <c r="C114" s="259"/>
      <c r="D114" s="254"/>
      <c r="E114" s="257"/>
      <c r="F114" s="257"/>
      <c r="G114" s="270"/>
      <c r="H114" s="4"/>
      <c r="I114" s="271"/>
      <c r="J114" s="257"/>
      <c r="K114" s="257"/>
      <c r="L114" s="270"/>
      <c r="M114" s="257"/>
    </row>
    <row r="115" spans="2:13" ht="14.25" customHeight="1">
      <c r="B115" s="258">
        <f>+B113+1</f>
        <v>56</v>
      </c>
      <c r="C115" s="312"/>
      <c r="D115" s="266" t="s">
        <v>739</v>
      </c>
      <c r="E115" s="257" t="str">
        <f>"(Worksheet A ln "&amp;'WS A - RB Support'!A88&amp;"."&amp;'WS A - RB Support'!F68&amp;")"</f>
        <v>(Worksheet A ln 54.(e))</v>
      </c>
      <c r="F115" s="257"/>
      <c r="G115" s="270">
        <f>-'WS A - RB Support'!F88</f>
        <v>-1136523.98</v>
      </c>
      <c r="H115" s="270"/>
      <c r="I115" s="271" t="s">
        <v>133</v>
      </c>
      <c r="J115" s="272">
        <f>L257</f>
        <v>4.9622134516203481E-2</v>
      </c>
      <c r="K115" s="257"/>
      <c r="L115" s="270">
        <f>G115*J115</f>
        <v>-56396.745816450952</v>
      </c>
      <c r="M115" s="257"/>
    </row>
    <row r="116" spans="2:13">
      <c r="B116" s="258"/>
      <c r="C116" s="259"/>
      <c r="D116" s="254"/>
      <c r="E116" s="257"/>
      <c r="F116" s="257"/>
      <c r="G116" s="270"/>
      <c r="H116" s="4"/>
      <c r="I116" s="271"/>
      <c r="J116" s="257"/>
      <c r="K116" s="257"/>
      <c r="L116" s="270"/>
      <c r="M116" s="257"/>
    </row>
    <row r="117" spans="2:13">
      <c r="B117" s="258">
        <f>+B115+1</f>
        <v>57</v>
      </c>
      <c r="C117" s="259"/>
      <c r="D117" s="254" t="s">
        <v>94</v>
      </c>
      <c r="E117" s="257" t="s">
        <v>499</v>
      </c>
      <c r="F117" s="257"/>
      <c r="G117" s="270"/>
      <c r="H117" s="4"/>
      <c r="I117" s="271"/>
      <c r="J117" s="257"/>
      <c r="K117" s="257"/>
      <c r="L117" s="270"/>
      <c r="M117" s="257"/>
    </row>
    <row r="118" spans="2:13">
      <c r="B118" s="258">
        <f t="shared" ref="B118:B126" si="6">+B117+1</f>
        <v>58</v>
      </c>
      <c r="C118" s="312"/>
      <c r="D118" s="254" t="s">
        <v>205</v>
      </c>
      <c r="E118" s="250" t="str">
        <f>"(1/8 * ln "&amp;B155&amp;")"</f>
        <v>(1/8 * ln 78)</v>
      </c>
      <c r="G118" s="270">
        <f>+G155/8</f>
        <v>3366204.393749997</v>
      </c>
      <c r="H118" s="257"/>
      <c r="I118" s="271"/>
      <c r="J118" s="313"/>
      <c r="K118" s="257"/>
      <c r="L118" s="270">
        <f>+L155/8</f>
        <v>3265525.1958176293</v>
      </c>
      <c r="M118" s="254"/>
    </row>
    <row r="119" spans="2:13">
      <c r="B119" s="258">
        <f t="shared" si="6"/>
        <v>59</v>
      </c>
      <c r="C119" s="312"/>
      <c r="D119" s="254" t="s">
        <v>336</v>
      </c>
      <c r="E119" s="257" t="s">
        <v>543</v>
      </c>
      <c r="F119" s="257"/>
      <c r="G119" s="270">
        <f>'WS C  - Working Capital'!I17</f>
        <v>180425.5</v>
      </c>
      <c r="H119" s="4"/>
      <c r="I119" s="271" t="s">
        <v>121</v>
      </c>
      <c r="J119" s="272">
        <f>L239</f>
        <v>0.97009118099919955</v>
      </c>
      <c r="K119" s="257"/>
      <c r="L119" s="270">
        <f>+J119*G119</f>
        <v>175029.18637737108</v>
      </c>
      <c r="M119" s="257"/>
    </row>
    <row r="120" spans="2:13">
      <c r="B120" s="258" t="s">
        <v>1386</v>
      </c>
      <c r="C120" s="312"/>
      <c r="D120" s="254" t="s">
        <v>1387</v>
      </c>
      <c r="E120" s="257" t="s">
        <v>1388</v>
      </c>
      <c r="F120" s="257"/>
      <c r="G120" s="270">
        <f>'WS C  - Working Capital'!I19</f>
        <v>0</v>
      </c>
      <c r="H120" s="4"/>
      <c r="I120" s="271" t="s">
        <v>1406</v>
      </c>
      <c r="J120" s="272">
        <f>L246</f>
        <v>0</v>
      </c>
      <c r="K120" s="257"/>
      <c r="L120" s="270">
        <f>+J120*G120</f>
        <v>0</v>
      </c>
      <c r="M120" s="257"/>
    </row>
    <row r="121" spans="2:13">
      <c r="B121" s="258">
        <f>+B119+1</f>
        <v>60</v>
      </c>
      <c r="C121" s="312"/>
      <c r="D121" s="254" t="s">
        <v>337</v>
      </c>
      <c r="E121" s="257" t="s">
        <v>544</v>
      </c>
      <c r="F121" s="257"/>
      <c r="G121" s="270">
        <f>'WS C  - Working Capital'!I21</f>
        <v>364568</v>
      </c>
      <c r="H121" s="4"/>
      <c r="I121" s="271" t="s">
        <v>133</v>
      </c>
      <c r="J121" s="272">
        <f>L257</f>
        <v>4.9622134516203481E-2</v>
      </c>
      <c r="K121" s="257"/>
      <c r="L121" s="270">
        <f>+J121*G121</f>
        <v>18090.64233630327</v>
      </c>
      <c r="M121" s="257"/>
    </row>
    <row r="122" spans="2:13">
      <c r="B122" s="258">
        <f t="shared" si="6"/>
        <v>61</v>
      </c>
      <c r="C122" s="312"/>
      <c r="D122" s="254" t="s">
        <v>531</v>
      </c>
      <c r="E122" s="257" t="s">
        <v>545</v>
      </c>
      <c r="F122" s="257"/>
      <c r="G122" s="270">
        <f>'WS C  - Working Capital'!I23</f>
        <v>0</v>
      </c>
      <c r="H122" s="4"/>
      <c r="I122" s="271" t="s">
        <v>750</v>
      </c>
      <c r="J122" s="272">
        <f>J77</f>
        <v>0.1723477993368745</v>
      </c>
      <c r="K122" s="257"/>
      <c r="L122" s="270">
        <f>+J122*G122</f>
        <v>0</v>
      </c>
      <c r="M122" s="257"/>
    </row>
    <row r="123" spans="2:13">
      <c r="B123" s="258">
        <f t="shared" si="6"/>
        <v>62</v>
      </c>
      <c r="C123" s="312"/>
      <c r="D123" s="254" t="s">
        <v>209</v>
      </c>
      <c r="E123" s="257" t="s">
        <v>574</v>
      </c>
      <c r="F123" s="257"/>
      <c r="G123" s="270">
        <f>'WS C  - Working Capital'!J33</f>
        <v>210315984.41300002</v>
      </c>
      <c r="H123" s="4"/>
      <c r="I123" s="271" t="s">
        <v>133</v>
      </c>
      <c r="J123" s="272">
        <f>L257</f>
        <v>4.9622134516203481E-2</v>
      </c>
      <c r="K123" s="257"/>
      <c r="L123" s="270">
        <f>+J123*G123</f>
        <v>10436328.069449641</v>
      </c>
      <c r="M123" s="257"/>
    </row>
    <row r="124" spans="2:13">
      <c r="B124" s="258">
        <f t="shared" si="6"/>
        <v>63</v>
      </c>
      <c r="C124" s="312"/>
      <c r="D124" s="254" t="s">
        <v>210</v>
      </c>
      <c r="E124" s="257" t="s">
        <v>573</v>
      </c>
      <c r="F124" s="257"/>
      <c r="G124" s="270">
        <f>'WS C  - Working Capital'!I33</f>
        <v>7373101.4004999995</v>
      </c>
      <c r="H124" s="4"/>
      <c r="I124" s="271" t="s">
        <v>750</v>
      </c>
      <c r="J124" s="272">
        <f>J77</f>
        <v>0.1723477993368745</v>
      </c>
      <c r="K124" s="257"/>
      <c r="L124" s="270">
        <f>+G124*J124</f>
        <v>1270737.8006638023</v>
      </c>
      <c r="M124" s="257"/>
    </row>
    <row r="125" spans="2:13">
      <c r="B125" s="258">
        <f t="shared" si="6"/>
        <v>64</v>
      </c>
      <c r="C125" s="312"/>
      <c r="D125" s="254" t="s">
        <v>306</v>
      </c>
      <c r="E125" s="257" t="s">
        <v>575</v>
      </c>
      <c r="F125" s="257"/>
      <c r="G125" s="270">
        <f>'WS C  - Working Capital'!G33</f>
        <v>0</v>
      </c>
      <c r="H125" s="4"/>
      <c r="I125" s="271" t="s">
        <v>130</v>
      </c>
      <c r="J125" s="272">
        <v>1</v>
      </c>
      <c r="K125" s="257"/>
      <c r="L125" s="270">
        <f>+G125*J125</f>
        <v>0</v>
      </c>
      <c r="M125" s="257"/>
    </row>
    <row r="126" spans="2:13" ht="15.75" thickBot="1">
      <c r="B126" s="258">
        <f t="shared" si="6"/>
        <v>65</v>
      </c>
      <c r="C126" s="312"/>
      <c r="D126" s="254" t="s">
        <v>106</v>
      </c>
      <c r="E126" s="257" t="s">
        <v>576</v>
      </c>
      <c r="F126" s="257"/>
      <c r="G126" s="305">
        <f>'WS C  - Working Capital'!E33</f>
        <v>-193810811.08850002</v>
      </c>
      <c r="H126" s="270"/>
      <c r="I126" s="271" t="s">
        <v>128</v>
      </c>
      <c r="J126" s="272">
        <v>0</v>
      </c>
      <c r="K126" s="257"/>
      <c r="L126" s="305">
        <f>+G126*J126</f>
        <v>0</v>
      </c>
      <c r="M126" s="257"/>
    </row>
    <row r="127" spans="2:13">
      <c r="B127" s="258">
        <f>+B126+1</f>
        <v>66</v>
      </c>
      <c r="C127" s="312"/>
      <c r="D127" s="254" t="s">
        <v>45</v>
      </c>
      <c r="E127" s="254" t="str">
        <f>"(sum lns "&amp;B118&amp;" to "&amp;B126&amp;")"</f>
        <v>(sum lns 58 to 65)</v>
      </c>
      <c r="F127" s="254"/>
      <c r="G127" s="270">
        <f>SUM(G118:G126)</f>
        <v>27789472.618749976</v>
      </c>
      <c r="H127" s="254"/>
      <c r="I127" s="259"/>
      <c r="J127" s="254"/>
      <c r="K127" s="254"/>
      <c r="L127" s="270">
        <f>SUM(L118:L126)</f>
        <v>15165710.894644748</v>
      </c>
      <c r="M127" s="254"/>
    </row>
    <row r="128" spans="2:13">
      <c r="B128" s="258"/>
      <c r="C128" s="259"/>
      <c r="D128" s="254"/>
      <c r="E128" s="254"/>
      <c r="F128" s="254"/>
      <c r="G128" s="270"/>
      <c r="H128" s="254"/>
      <c r="I128" s="259"/>
      <c r="J128" s="254"/>
      <c r="K128" s="254"/>
      <c r="L128" s="270"/>
      <c r="M128" s="254"/>
    </row>
    <row r="129" spans="2:15">
      <c r="B129" s="258">
        <f>+B127+1</f>
        <v>67</v>
      </c>
      <c r="C129" s="259"/>
      <c r="D129" s="254" t="s">
        <v>32</v>
      </c>
      <c r="E129" s="254" t="s">
        <v>546</v>
      </c>
      <c r="F129" s="254"/>
      <c r="G129" s="270">
        <f>+'WS D IPP Credits'!C23</f>
        <v>0</v>
      </c>
      <c r="H129" s="254"/>
      <c r="I129" s="320" t="s">
        <v>130</v>
      </c>
      <c r="J129" s="272">
        <v>1</v>
      </c>
      <c r="K129" s="257"/>
      <c r="L129" s="270">
        <f>+J129*G129</f>
        <v>0</v>
      </c>
      <c r="M129" s="254"/>
    </row>
    <row r="130" spans="2:15" ht="15.75" thickBot="1">
      <c r="B130" s="258"/>
      <c r="E130" s="257"/>
      <c r="F130" s="257"/>
      <c r="G130" s="305"/>
      <c r="H130" s="257"/>
      <c r="I130" s="271"/>
      <c r="J130" s="257"/>
      <c r="K130" s="257"/>
      <c r="L130" s="305"/>
      <c r="M130" s="257"/>
    </row>
    <row r="131" spans="2:15" ht="15.75" thickBot="1">
      <c r="B131" s="258">
        <f>+B129+1</f>
        <v>68</v>
      </c>
      <c r="C131" s="259"/>
      <c r="D131" s="254" t="str">
        <f>"RATE BASE  (sum lns "&amp;B100&amp;", "&amp;B109&amp;", "&amp;B111&amp;", "&amp;B113&amp;", "&amp;B115&amp;", "&amp;B127&amp;", "&amp;B129&amp;")"</f>
        <v>RATE BASE  (sum lns 46, 53, 54, 55, 56, 66, 67)</v>
      </c>
      <c r="E131" s="257"/>
      <c r="F131" s="257"/>
      <c r="G131" s="830">
        <f>+G127+G111+G109+G100+G129+G113+G115</f>
        <v>5838173340.0279818</v>
      </c>
      <c r="H131" s="257"/>
      <c r="I131" s="257"/>
      <c r="J131" s="313"/>
      <c r="K131" s="257"/>
      <c r="L131" s="830">
        <f>+L127+L111+L109+L100+L129+L113+L115</f>
        <v>1248841644.1602726</v>
      </c>
      <c r="M131" s="257"/>
    </row>
    <row r="132" spans="2:15" ht="16.5" thickTop="1">
      <c r="B132" s="258"/>
      <c r="C132" s="72"/>
      <c r="D132" s="72"/>
      <c r="E132" s="72"/>
      <c r="F132" s="72"/>
      <c r="G132" s="72"/>
      <c r="H132" s="72"/>
      <c r="I132" s="253"/>
      <c r="J132" s="253"/>
      <c r="K132" s="253"/>
      <c r="L132" s="803"/>
    </row>
    <row r="133" spans="2:15">
      <c r="B133" s="321"/>
      <c r="C133" s="259"/>
      <c r="D133" s="254"/>
      <c r="E133" s="257"/>
      <c r="F133" s="257"/>
      <c r="G133" s="257"/>
      <c r="H133" s="257"/>
      <c r="I133" s="257"/>
      <c r="J133" s="257"/>
      <c r="K133" s="257"/>
      <c r="L133" s="257"/>
      <c r="M133" s="257"/>
    </row>
    <row r="134" spans="2:15">
      <c r="B134" s="321"/>
      <c r="C134" s="259"/>
      <c r="D134" s="254"/>
      <c r="E134" s="257"/>
      <c r="F134" s="271" t="str">
        <f>F54</f>
        <v xml:space="preserve">AEP East Companies </v>
      </c>
      <c r="G134" s="271"/>
      <c r="H134" s="257"/>
      <c r="I134" s="257"/>
      <c r="J134" s="257"/>
      <c r="K134" s="257"/>
      <c r="L134" s="257"/>
      <c r="M134" s="322"/>
    </row>
    <row r="135" spans="2:15">
      <c r="B135" s="321"/>
      <c r="C135" s="259"/>
      <c r="D135" s="254"/>
      <c r="E135" s="257"/>
      <c r="F135" s="271" t="str">
        <f>F55</f>
        <v>Transmission Cost of Service Formula Rate</v>
      </c>
      <c r="G135" s="271"/>
      <c r="H135" s="257"/>
      <c r="I135" s="257"/>
      <c r="J135" s="257"/>
      <c r="K135" s="257"/>
      <c r="L135" s="257"/>
      <c r="M135" s="322"/>
    </row>
    <row r="136" spans="2:15">
      <c r="B136" s="321"/>
      <c r="C136" s="259"/>
      <c r="E136" s="257"/>
      <c r="F136" s="271" t="str">
        <f>F56</f>
        <v>Utilizing  Actual/Projected FERC Form 1 Data</v>
      </c>
      <c r="G136" s="257"/>
      <c r="H136" s="257"/>
      <c r="I136" s="257"/>
      <c r="J136" s="257"/>
      <c r="K136" s="257"/>
      <c r="L136" s="257"/>
      <c r="M136" s="289"/>
    </row>
    <row r="137" spans="2:15">
      <c r="B137" s="321"/>
      <c r="C137" s="259"/>
      <c r="E137" s="257"/>
      <c r="F137" s="271"/>
      <c r="G137" s="257"/>
      <c r="H137" s="257"/>
      <c r="I137" s="257"/>
      <c r="J137" s="257"/>
      <c r="K137" s="257"/>
      <c r="L137" s="257"/>
      <c r="M137" s="257"/>
    </row>
    <row r="138" spans="2:15">
      <c r="B138" s="321"/>
      <c r="C138" s="259"/>
      <c r="E138" s="323"/>
      <c r="F138" s="271" t="str">
        <f>F58</f>
        <v xml:space="preserve">Indiana Michigan Power Company </v>
      </c>
      <c r="G138" s="323"/>
      <c r="H138" s="323"/>
      <c r="I138" s="323"/>
      <c r="J138" s="323"/>
      <c r="K138" s="323"/>
      <c r="M138" s="257"/>
    </row>
    <row r="139" spans="2:15">
      <c r="B139" s="321"/>
      <c r="C139" s="259"/>
      <c r="E139" s="323"/>
      <c r="F139" s="271"/>
      <c r="G139" s="323"/>
      <c r="H139" s="323"/>
      <c r="I139" s="323"/>
      <c r="J139" s="323"/>
      <c r="K139" s="323"/>
      <c r="M139" s="257"/>
    </row>
    <row r="140" spans="2:15">
      <c r="B140" s="321"/>
      <c r="D140" s="259" t="s">
        <v>122</v>
      </c>
      <c r="E140" s="259" t="s">
        <v>123</v>
      </c>
      <c r="F140" s="259"/>
      <c r="G140" s="259" t="s">
        <v>124</v>
      </c>
      <c r="H140" s="257"/>
      <c r="I140" s="1210" t="s">
        <v>125</v>
      </c>
      <c r="J140" s="1214"/>
      <c r="K140" s="257"/>
      <c r="L140" s="260" t="s">
        <v>126</v>
      </c>
      <c r="M140" s="257"/>
      <c r="N140" s="260"/>
    </row>
    <row r="141" spans="2:15" ht="15.75">
      <c r="B141" s="321"/>
      <c r="D141" s="259"/>
      <c r="E141" s="259"/>
      <c r="F141" s="259"/>
      <c r="G141" s="259"/>
      <c r="H141" s="257"/>
      <c r="I141" s="257"/>
      <c r="J141" s="291"/>
      <c r="K141" s="257"/>
      <c r="M141" s="257"/>
      <c r="N141" s="324"/>
      <c r="O141" s="253"/>
    </row>
    <row r="142" spans="2:15" ht="15.75">
      <c r="B142" s="321"/>
      <c r="C142" s="259"/>
      <c r="D142" s="324" t="s">
        <v>102</v>
      </c>
      <c r="E142" s="293" t="str">
        <f>E62</f>
        <v>Data Sources</v>
      </c>
      <c r="F142" s="294"/>
      <c r="G142" s="257"/>
      <c r="H142" s="257"/>
      <c r="I142" s="257"/>
      <c r="J142" s="259"/>
      <c r="K142" s="257"/>
      <c r="L142" s="293" t="str">
        <f>L62</f>
        <v>Total</v>
      </c>
      <c r="N142" s="324"/>
      <c r="O142" s="253"/>
    </row>
    <row r="143" spans="2:15" ht="15.75">
      <c r="B143" s="321"/>
      <c r="C143" s="259"/>
      <c r="D143" s="296" t="s">
        <v>103</v>
      </c>
      <c r="E143" s="325" t="str">
        <f>E63</f>
        <v>(See "General Notes")</v>
      </c>
      <c r="F143" s="257"/>
      <c r="G143" s="325" t="str">
        <f>G63</f>
        <v>TO Total</v>
      </c>
      <c r="H143" s="298"/>
      <c r="I143" s="1212" t="str">
        <f>I63</f>
        <v>Allocator</v>
      </c>
      <c r="J143" s="1213"/>
      <c r="K143" s="298"/>
      <c r="L143" s="325" t="str">
        <f>L63</f>
        <v>Transmission</v>
      </c>
      <c r="M143" s="257"/>
      <c r="N143" s="324"/>
      <c r="O143" s="253"/>
    </row>
    <row r="144" spans="2:15" ht="15.75">
      <c r="B144" s="258" t="str">
        <f>B64</f>
        <v>Line</v>
      </c>
      <c r="D144" s="254"/>
      <c r="E144" s="257"/>
      <c r="F144" s="257"/>
      <c r="G144" s="296"/>
      <c r="H144" s="326"/>
      <c r="I144" s="324"/>
      <c r="K144" s="326"/>
      <c r="L144" s="296"/>
      <c r="M144" s="257"/>
    </row>
    <row r="145" spans="2:15">
      <c r="B145" s="258" t="str">
        <f>B65</f>
        <v>No.</v>
      </c>
      <c r="C145" s="259"/>
      <c r="D145" s="254" t="s">
        <v>104</v>
      </c>
      <c r="E145" s="257"/>
      <c r="F145" s="257"/>
      <c r="G145" s="257"/>
      <c r="H145" s="257"/>
      <c r="I145" s="271"/>
      <c r="J145" s="257"/>
      <c r="K145" s="257"/>
      <c r="L145" s="257"/>
      <c r="M145" s="257"/>
    </row>
    <row r="146" spans="2:15">
      <c r="B146" s="258">
        <f>+B131+1</f>
        <v>69</v>
      </c>
      <c r="C146" s="259"/>
      <c r="D146" s="254" t="s">
        <v>127</v>
      </c>
      <c r="E146" s="257" t="s">
        <v>10</v>
      </c>
      <c r="F146" s="257"/>
      <c r="G146" s="616">
        <v>1013552796</v>
      </c>
      <c r="H146" s="257"/>
      <c r="I146" s="271"/>
      <c r="J146" s="272"/>
      <c r="K146" s="257"/>
      <c r="L146" s="270"/>
      <c r="M146" s="257"/>
    </row>
    <row r="147" spans="2:15">
      <c r="B147" s="258">
        <f>+B146+1</f>
        <v>70</v>
      </c>
      <c r="C147" s="259"/>
      <c r="D147" s="254" t="s">
        <v>131</v>
      </c>
      <c r="E147" s="257" t="s">
        <v>11</v>
      </c>
      <c r="F147" s="257"/>
      <c r="G147" s="616">
        <v>128330829</v>
      </c>
      <c r="H147" s="257"/>
      <c r="I147" s="271"/>
      <c r="J147" s="272"/>
      <c r="K147" s="257"/>
      <c r="L147" s="270"/>
      <c r="M147" s="257"/>
    </row>
    <row r="148" spans="2:15">
      <c r="B148" s="258">
        <f t="shared" ref="B148:B153" si="7">+B147+1</f>
        <v>71</v>
      </c>
      <c r="C148" s="259"/>
      <c r="D148" s="254" t="s">
        <v>247</v>
      </c>
      <c r="E148" s="257" t="s">
        <v>203</v>
      </c>
      <c r="F148" s="257"/>
      <c r="G148" s="616">
        <f>17263977+33031991+96742</f>
        <v>50392710</v>
      </c>
      <c r="H148" s="257"/>
      <c r="I148" s="271"/>
      <c r="J148" s="272"/>
      <c r="K148" s="257"/>
      <c r="L148" s="270"/>
      <c r="M148" s="257"/>
    </row>
    <row r="149" spans="2:15">
      <c r="B149" s="258">
        <f t="shared" si="7"/>
        <v>72</v>
      </c>
      <c r="C149" s="259"/>
      <c r="D149" s="254" t="s">
        <v>248</v>
      </c>
      <c r="E149" s="257" t="s">
        <v>418</v>
      </c>
      <c r="F149" s="257"/>
      <c r="G149" s="616">
        <v>6130859</v>
      </c>
      <c r="H149" s="257"/>
      <c r="I149" s="271"/>
      <c r="J149" s="272"/>
      <c r="K149" s="257"/>
      <c r="L149" s="270"/>
      <c r="M149" s="257"/>
    </row>
    <row r="150" spans="2:15" ht="15.75" thickBot="1">
      <c r="B150" s="258">
        <f t="shared" si="7"/>
        <v>73</v>
      </c>
      <c r="C150" s="259"/>
      <c r="D150" s="254" t="s">
        <v>136</v>
      </c>
      <c r="E150" s="257" t="s">
        <v>417</v>
      </c>
      <c r="F150" s="257"/>
      <c r="G150" s="617">
        <v>314011695</v>
      </c>
      <c r="H150" s="270"/>
      <c r="I150" s="72"/>
      <c r="J150" s="72"/>
      <c r="K150"/>
      <c r="L150"/>
      <c r="M150" s="254"/>
      <c r="N150" s="257"/>
      <c r="O150" s="257"/>
    </row>
    <row r="151" spans="2:15">
      <c r="B151" s="258">
        <f t="shared" si="7"/>
        <v>74</v>
      </c>
      <c r="C151" s="259"/>
      <c r="D151" s="254" t="s">
        <v>249</v>
      </c>
      <c r="E151" s="257" t="str">
        <f>"(sum lns "&amp;B146&amp;"  to "&amp;B150&amp;")"</f>
        <v>(sum lns 69  to 73)</v>
      </c>
      <c r="F151" s="257"/>
      <c r="G151" s="270">
        <f>SUM(G146:G150)</f>
        <v>1512418889</v>
      </c>
      <c r="H151" s="270"/>
      <c r="I151" s="72"/>
      <c r="J151" s="72"/>
      <c r="K151"/>
      <c r="L151"/>
      <c r="M151" s="254"/>
      <c r="N151" s="257"/>
      <c r="O151" s="257"/>
    </row>
    <row r="152" spans="2:15">
      <c r="B152" s="258">
        <f t="shared" si="7"/>
        <v>75</v>
      </c>
      <c r="C152" s="259"/>
      <c r="D152" s="254" t="s">
        <v>329</v>
      </c>
      <c r="E152" s="257" t="str">
        <f>"(Note G) (Worksheet F, ln "&amp;'WS F Misc Exp'!A33&amp;".C)"</f>
        <v>(Note G) (Worksheet F, ln 14.C)</v>
      </c>
      <c r="F152" s="257"/>
      <c r="G152" s="270">
        <f>'WS F Misc Exp'!D33</f>
        <v>8133285.5999999987</v>
      </c>
      <c r="H152" s="270"/>
      <c r="I152" s="72"/>
      <c r="J152" s="72"/>
      <c r="K152"/>
      <c r="L152"/>
      <c r="M152" s="254"/>
      <c r="N152" s="257"/>
      <c r="O152" s="257"/>
    </row>
    <row r="153" spans="2:15">
      <c r="B153" s="258">
        <f t="shared" si="7"/>
        <v>76</v>
      </c>
      <c r="C153" s="259"/>
      <c r="D153" s="254" t="s">
        <v>23</v>
      </c>
      <c r="E153" s="257" t="s">
        <v>101</v>
      </c>
      <c r="F153" s="257"/>
      <c r="G153" s="616">
        <v>278948774.25</v>
      </c>
      <c r="H153" s="270"/>
      <c r="I153" s="72"/>
      <c r="J153" s="72"/>
      <c r="K153"/>
      <c r="L153"/>
      <c r="M153" s="254"/>
      <c r="N153" s="257"/>
      <c r="O153" s="257"/>
    </row>
    <row r="154" spans="2:15" ht="15.75" thickBot="1">
      <c r="B154" s="258">
        <f>+B153+1</f>
        <v>77</v>
      </c>
      <c r="C154" s="259"/>
      <c r="D154" s="254" t="s">
        <v>333</v>
      </c>
      <c r="E154" s="257" t="s">
        <v>481</v>
      </c>
      <c r="F154" s="257"/>
      <c r="G154" s="305">
        <f>+'WS F Misc Exp'!D21</f>
        <v>0</v>
      </c>
      <c r="H154" s="270"/>
      <c r="I154" s="72"/>
      <c r="J154" s="72"/>
      <c r="K154"/>
      <c r="L154"/>
      <c r="M154" s="254"/>
      <c r="N154" s="257"/>
      <c r="O154" s="257"/>
    </row>
    <row r="155" spans="2:15">
      <c r="B155" s="258">
        <f>+B154+1</f>
        <v>78</v>
      </c>
      <c r="C155" s="259"/>
      <c r="D155" s="254" t="s">
        <v>385</v>
      </c>
      <c r="E155" s="257" t="str">
        <f>"(lns "&amp;B150&amp;" - "&amp;B152&amp;" - "&amp;B153&amp;" - "&amp;B154&amp;")"</f>
        <v>(lns 73 - 75 - 76 - 77)</v>
      </c>
      <c r="F155" s="254"/>
      <c r="G155" s="270">
        <f>G150-G152-G153-G154</f>
        <v>26929635.149999976</v>
      </c>
      <c r="H155" s="257"/>
      <c r="I155" s="271" t="s">
        <v>121</v>
      </c>
      <c r="J155" s="272">
        <f>L239</f>
        <v>0.97009118099919955</v>
      </c>
      <c r="K155" s="257"/>
      <c r="L155" s="270">
        <f>+J155*G155</f>
        <v>26124201.566541035</v>
      </c>
      <c r="M155" s="254"/>
      <c r="N155" s="257"/>
      <c r="O155" s="257"/>
    </row>
    <row r="156" spans="2:15">
      <c r="B156" s="258"/>
      <c r="C156" s="259"/>
      <c r="D156" s="254"/>
      <c r="E156" s="257"/>
      <c r="F156" s="257"/>
      <c r="G156" s="72"/>
      <c r="H156" s="270"/>
      <c r="I156" s="72"/>
      <c r="J156" s="72"/>
      <c r="K156"/>
      <c r="L156"/>
      <c r="M156" s="254"/>
      <c r="N156" s="257"/>
      <c r="O156" s="257"/>
    </row>
    <row r="157" spans="2:15">
      <c r="B157" s="258">
        <f>+B155+1</f>
        <v>79</v>
      </c>
      <c r="C157" s="259"/>
      <c r="D157" s="254" t="s">
        <v>105</v>
      </c>
      <c r="E157" s="257" t="s">
        <v>741</v>
      </c>
      <c r="F157" s="257"/>
      <c r="G157" s="616">
        <v>106386088</v>
      </c>
      <c r="H157" s="270"/>
      <c r="I157" s="311"/>
      <c r="J157" s="311"/>
      <c r="K157" s="257"/>
      <c r="L157" s="270"/>
      <c r="M157" s="257"/>
      <c r="N157" s="257"/>
      <c r="O157" s="257"/>
    </row>
    <row r="158" spans="2:15">
      <c r="B158" s="258">
        <f t="shared" ref="B158:B172" si="8">+B157+1</f>
        <v>80</v>
      </c>
      <c r="C158" s="259"/>
      <c r="D158" s="254" t="s">
        <v>331</v>
      </c>
      <c r="E158" s="257" t="s">
        <v>419</v>
      </c>
      <c r="F158" s="257"/>
      <c r="G158" s="616">
        <v>-759574.20000000007</v>
      </c>
      <c r="H158" s="270"/>
      <c r="I158" s="311"/>
      <c r="J158" s="254"/>
      <c r="K158" s="257"/>
      <c r="L158" s="270"/>
      <c r="M158"/>
      <c r="N158" s="257"/>
      <c r="O158" s="257"/>
    </row>
    <row r="159" spans="2:15">
      <c r="B159" s="258">
        <f t="shared" si="8"/>
        <v>81</v>
      </c>
      <c r="C159" s="259"/>
      <c r="D159" s="925" t="s">
        <v>846</v>
      </c>
      <c r="E159" s="257" t="str">
        <f>"PBOP Worksheet O Line "&amp;'WS O - PBOP'!A37&amp;" &amp; "&amp;'WS O - PBOP'!A39&amp;", (Note K)"</f>
        <v>PBOP Worksheet O Line 9 &amp; 10, (Note K)</v>
      </c>
      <c r="F159" s="257"/>
      <c r="G159" s="926">
        <f>'WS O - PBOP'!F37+'WS O - PBOP'!F39</f>
        <v>-8431440.9600000009</v>
      </c>
      <c r="H159" s="270"/>
      <c r="I159" s="311"/>
      <c r="J159" s="254"/>
      <c r="K159" s="257"/>
      <c r="L159" s="270"/>
      <c r="M159"/>
      <c r="N159" s="257"/>
      <c r="O159" s="257"/>
    </row>
    <row r="160" spans="2:15">
      <c r="B160" s="258">
        <f t="shared" si="8"/>
        <v>82</v>
      </c>
      <c r="C160" s="259"/>
      <c r="D160" s="254" t="s">
        <v>847</v>
      </c>
      <c r="E160" s="257" t="str">
        <f>"PBOP Worksheet O  Line "&amp;'WS O - PBOP'!A41&amp;", (Note K)"</f>
        <v>PBOP Worksheet O  Line 11, (Note K)</v>
      </c>
      <c r="F160" s="257"/>
      <c r="G160" s="926">
        <f>'WS O - PBOP'!F41</f>
        <v>0</v>
      </c>
      <c r="H160" s="270"/>
      <c r="I160" s="311"/>
      <c r="J160" s="254"/>
      <c r="K160" s="257"/>
      <c r="L160" s="270"/>
      <c r="M160"/>
      <c r="N160" s="257"/>
      <c r="O160" s="257"/>
    </row>
    <row r="161" spans="2:15">
      <c r="B161" s="258">
        <f t="shared" si="8"/>
        <v>83</v>
      </c>
      <c r="C161" s="259"/>
      <c r="D161" s="254" t="s">
        <v>848</v>
      </c>
      <c r="E161" s="257" t="str">
        <f>"PBOP Worksheet O Line "&amp;'WS O - PBOP'!A45&amp;", (Note K)"</f>
        <v>PBOP Worksheet O Line 13, (Note K)</v>
      </c>
      <c r="F161" s="257"/>
      <c r="G161" s="926">
        <f>'WS O - PBOP'!F45</f>
        <v>-2110917.1541485414</v>
      </c>
      <c r="H161" s="270"/>
      <c r="I161" s="311"/>
      <c r="J161" s="254"/>
      <c r="K161" s="257"/>
      <c r="L161" s="270"/>
      <c r="M161"/>
      <c r="N161" s="257"/>
      <c r="O161" s="257"/>
    </row>
    <row r="162" spans="2:15">
      <c r="B162" s="258">
        <f t="shared" si="8"/>
        <v>84</v>
      </c>
      <c r="C162" s="259"/>
      <c r="D162" s="254" t="s">
        <v>330</v>
      </c>
      <c r="E162" s="257" t="s">
        <v>97</v>
      </c>
      <c r="F162" s="257"/>
      <c r="G162" s="616">
        <f>'WS F Misc Exp'!D42</f>
        <v>19687792.68</v>
      </c>
      <c r="H162" s="270"/>
      <c r="I162" s="311"/>
      <c r="J162" s="327"/>
      <c r="K162" s="257"/>
      <c r="L162" s="270"/>
      <c r="M162" s="257"/>
      <c r="N162" s="257"/>
      <c r="O162" s="257"/>
    </row>
    <row r="163" spans="2:15">
      <c r="B163" s="258">
        <f t="shared" si="8"/>
        <v>85</v>
      </c>
      <c r="C163" s="259"/>
      <c r="D163" s="254" t="s">
        <v>108</v>
      </c>
      <c r="E163" s="257" t="s">
        <v>98</v>
      </c>
      <c r="F163" s="257"/>
      <c r="G163" s="616">
        <f>'WS F Misc Exp'!D62</f>
        <v>136010.34</v>
      </c>
      <c r="H163" s="270"/>
      <c r="I163" s="311"/>
      <c r="J163" s="311"/>
      <c r="K163" s="257"/>
      <c r="L163" s="270"/>
      <c r="M163" s="257"/>
      <c r="N163" s="257"/>
      <c r="O163" s="257"/>
    </row>
    <row r="164" spans="2:15" ht="15.75" thickBot="1">
      <c r="B164" s="258">
        <f t="shared" si="8"/>
        <v>86</v>
      </c>
      <c r="C164" s="259"/>
      <c r="D164" s="254" t="s">
        <v>332</v>
      </c>
      <c r="E164" s="257" t="s">
        <v>99</v>
      </c>
      <c r="F164" s="257"/>
      <c r="G164" s="617">
        <f>'WS F Misc Exp'!D74</f>
        <v>6019250.1970000006</v>
      </c>
      <c r="H164" s="270"/>
      <c r="I164" s="311"/>
      <c r="J164" s="311"/>
      <c r="K164" s="257"/>
      <c r="L164" s="270"/>
      <c r="M164" s="257"/>
      <c r="N164" s="257"/>
      <c r="O164" s="257"/>
    </row>
    <row r="165" spans="2:15">
      <c r="B165" s="258">
        <f t="shared" si="8"/>
        <v>87</v>
      </c>
      <c r="C165" s="259"/>
      <c r="D165" s="254" t="s">
        <v>109</v>
      </c>
      <c r="E165" s="257" t="str">
        <f>"(ln "&amp;B157&amp;" - sum ln "&amp;B158&amp;"  to ln "&amp;B164&amp;")"</f>
        <v>(ln 79 - sum ln 80  to ln 86)</v>
      </c>
      <c r="F165" s="257"/>
      <c r="G165" s="270">
        <f>G157-SUM(G158:G164)</f>
        <v>91844967.097148538</v>
      </c>
      <c r="H165" s="270"/>
      <c r="I165" s="271" t="s">
        <v>133</v>
      </c>
      <c r="J165" s="272">
        <f>L257</f>
        <v>4.9622134516203481E-2</v>
      </c>
      <c r="K165" s="257"/>
      <c r="L165" s="270">
        <f>+J165*G165</f>
        <v>4557543.3119309871</v>
      </c>
      <c r="M165" s="257"/>
      <c r="N165" s="257"/>
      <c r="O165" s="257"/>
    </row>
    <row r="166" spans="2:15">
      <c r="B166" s="258" t="s">
        <v>1384</v>
      </c>
      <c r="C166" s="259"/>
      <c r="D166" s="254" t="s">
        <v>1382</v>
      </c>
      <c r="E166" s="257" t="s">
        <v>1385</v>
      </c>
      <c r="F166" s="257"/>
      <c r="G166" s="1173">
        <v>0</v>
      </c>
      <c r="H166" s="270"/>
      <c r="I166" s="271" t="s">
        <v>1406</v>
      </c>
      <c r="J166" s="272">
        <f>L246</f>
        <v>0</v>
      </c>
      <c r="K166" s="257"/>
      <c r="L166" s="270">
        <f>+J166*G166</f>
        <v>0</v>
      </c>
      <c r="M166" s="257"/>
      <c r="N166" s="257"/>
      <c r="O166" s="257"/>
    </row>
    <row r="167" spans="2:15">
      <c r="B167" s="258">
        <f>+B165+1</f>
        <v>88</v>
      </c>
      <c r="C167" s="259"/>
      <c r="D167" s="254" t="s">
        <v>198</v>
      </c>
      <c r="E167" s="257" t="str">
        <f>"(ln "&amp;B158&amp;")"</f>
        <v>(ln 80)</v>
      </c>
      <c r="F167" s="257"/>
      <c r="G167" s="270">
        <f>+G158</f>
        <v>-759574.20000000007</v>
      </c>
      <c r="H167" s="270"/>
      <c r="I167" s="271" t="s">
        <v>750</v>
      </c>
      <c r="J167" s="272">
        <f>J77</f>
        <v>0.1723477993368745</v>
      </c>
      <c r="K167" s="257"/>
      <c r="L167" s="270">
        <f>+J167*G167</f>
        <v>-130910.94180306699</v>
      </c>
      <c r="M167" s="257"/>
      <c r="N167" s="257"/>
      <c r="O167" s="257"/>
    </row>
    <row r="168" spans="2:15">
      <c r="B168" s="258">
        <f t="shared" si="8"/>
        <v>89</v>
      </c>
      <c r="C168" s="259"/>
      <c r="D168" s="254" t="s">
        <v>231</v>
      </c>
      <c r="E168" s="257" t="str">
        <f>"Worksheet F ln "&amp;'WS F Misc Exp'!A42&amp;".(E) (Note L)"</f>
        <v>Worksheet F ln 21.(E) (Note L)</v>
      </c>
      <c r="F168" s="257"/>
      <c r="G168" s="270">
        <f>+'WS F Misc Exp'!F42</f>
        <v>347450.27999999997</v>
      </c>
      <c r="H168" s="270"/>
      <c r="I168" s="271" t="s">
        <v>121</v>
      </c>
      <c r="J168" s="272">
        <f>L239</f>
        <v>0.97009118099919955</v>
      </c>
      <c r="K168" s="257"/>
      <c r="L168" s="270">
        <f>J168*G168</f>
        <v>337058.45246370253</v>
      </c>
      <c r="M168" s="257"/>
      <c r="N168" s="257"/>
      <c r="O168" s="257"/>
    </row>
    <row r="169" spans="2:15">
      <c r="B169" s="258">
        <f t="shared" si="8"/>
        <v>90</v>
      </c>
      <c r="C169" s="259"/>
      <c r="D169" s="254" t="s">
        <v>241</v>
      </c>
      <c r="E169" s="257" t="str">
        <f>"Worksheet F ln "&amp;'WS F Misc Exp'!A62&amp;".(E) (Note L)"</f>
        <v>Worksheet F ln 38.(E) (Note L)</v>
      </c>
      <c r="F169" s="257"/>
      <c r="G169" s="270">
        <f>+'WS F Misc Exp'!F62</f>
        <v>848</v>
      </c>
      <c r="H169" s="257"/>
      <c r="I169" s="271" t="s">
        <v>121</v>
      </c>
      <c r="J169" s="272">
        <f>L239</f>
        <v>0.97009118099919955</v>
      </c>
      <c r="K169" s="257"/>
      <c r="L169" s="270">
        <f>+J169*G169</f>
        <v>822.63732148732117</v>
      </c>
      <c r="M169" s="257"/>
      <c r="N169" s="257"/>
      <c r="O169" s="257"/>
    </row>
    <row r="170" spans="2:15">
      <c r="B170" s="258">
        <f t="shared" si="8"/>
        <v>91</v>
      </c>
      <c r="C170" s="259"/>
      <c r="D170" s="254" t="s">
        <v>242</v>
      </c>
      <c r="E170" s="257" t="str">
        <f>"Worksheet F ln "&amp;'WS F Misc Exp'!A74&amp;".(E) (Note L)"</f>
        <v>Worksheet F ln 46.(E) (Note L)</v>
      </c>
      <c r="F170" s="257"/>
      <c r="G170" s="270">
        <f>+'WS F Misc Exp'!F74</f>
        <v>443287.52600000001</v>
      </c>
      <c r="H170" s="328"/>
      <c r="I170" s="271" t="s">
        <v>130</v>
      </c>
      <c r="J170" s="272">
        <v>1</v>
      </c>
      <c r="K170" s="257"/>
      <c r="L170" s="270">
        <f>+J170*G170</f>
        <v>443287.52600000001</v>
      </c>
      <c r="M170" s="257"/>
      <c r="N170" s="257"/>
      <c r="O170" s="257"/>
    </row>
    <row r="171" spans="2:15" ht="15.75" thickBot="1">
      <c r="B171" s="258">
        <f t="shared" si="8"/>
        <v>92</v>
      </c>
      <c r="C171" s="259"/>
      <c r="D171" s="254" t="s">
        <v>849</v>
      </c>
      <c r="E171" s="257" t="s">
        <v>851</v>
      </c>
      <c r="F171" s="257"/>
      <c r="G171" s="305">
        <f>'WS O - PBOP'!E23</f>
        <v>-51107919</v>
      </c>
      <c r="H171" s="328"/>
      <c r="I171" s="271" t="s">
        <v>133</v>
      </c>
      <c r="J171" s="272">
        <f>L257</f>
        <v>4.9622134516203481E-2</v>
      </c>
      <c r="K171" s="257"/>
      <c r="L171" s="305">
        <f>+J171*G171</f>
        <v>-2536084.0314612319</v>
      </c>
      <c r="M171" s="257"/>
      <c r="N171" s="257"/>
      <c r="O171" s="257"/>
    </row>
    <row r="172" spans="2:15">
      <c r="B172" s="258">
        <f t="shared" si="8"/>
        <v>93</v>
      </c>
      <c r="C172" s="259"/>
      <c r="D172" s="254" t="s">
        <v>110</v>
      </c>
      <c r="E172" s="257" t="str">
        <f>"(sum lns "&amp;B165&amp;"  to "&amp;B171&amp;")"</f>
        <v>(sum lns 87  to 92)</v>
      </c>
      <c r="F172" s="257"/>
      <c r="G172" s="270">
        <f>SUM(G165:G171)</f>
        <v>40769059.703148529</v>
      </c>
      <c r="H172" s="270"/>
      <c r="I172" s="271"/>
      <c r="J172" s="311"/>
      <c r="K172" s="257"/>
      <c r="L172" s="270">
        <f>SUM(L165:L171)</f>
        <v>2671716.9544518772</v>
      </c>
      <c r="M172" s="257"/>
      <c r="N172" s="270"/>
      <c r="O172" s="257"/>
    </row>
    <row r="173" spans="2:15" ht="15.75" thickBot="1">
      <c r="B173" s="258"/>
      <c r="C173" s="259"/>
      <c r="D173" s="254"/>
      <c r="E173" s="257"/>
      <c r="F173" s="257"/>
      <c r="G173" s="305"/>
      <c r="H173" s="257"/>
      <c r="I173" s="271"/>
      <c r="J173" s="311"/>
      <c r="K173" s="257"/>
      <c r="L173" s="305"/>
      <c r="M173" s="257"/>
      <c r="N173" s="257"/>
      <c r="O173" s="257"/>
    </row>
    <row r="174" spans="2:15">
      <c r="B174" s="258">
        <f>+B172+1</f>
        <v>94</v>
      </c>
      <c r="C174" s="259"/>
      <c r="D174" s="254" t="s">
        <v>415</v>
      </c>
      <c r="E174" s="257" t="str">
        <f>"(ln "&amp;B155&amp;" + ln "&amp;B172&amp;")"</f>
        <v>(ln 78 + ln 93)</v>
      </c>
      <c r="F174" s="257"/>
      <c r="G174" s="270">
        <f>+G155+G172</f>
        <v>67698694.853148505</v>
      </c>
      <c r="H174" s="270"/>
      <c r="I174" s="271"/>
      <c r="J174" s="257"/>
      <c r="K174" s="257"/>
      <c r="L174" s="270">
        <f>L155+L172</f>
        <v>28795918.520992912</v>
      </c>
      <c r="M174" s="257"/>
      <c r="N174" s="257"/>
      <c r="O174" s="257"/>
    </row>
    <row r="175" spans="2:15" ht="15.75" thickBot="1">
      <c r="B175" s="258">
        <f>+B174+1</f>
        <v>95</v>
      </c>
      <c r="C175" s="259"/>
      <c r="D175" s="254" t="s">
        <v>487</v>
      </c>
      <c r="E175" s="254"/>
      <c r="F175" s="257"/>
      <c r="G175" s="617">
        <v>0</v>
      </c>
      <c r="H175" s="270"/>
      <c r="I175" s="271" t="s">
        <v>130</v>
      </c>
      <c r="J175" s="272">
        <v>1</v>
      </c>
      <c r="K175" s="257"/>
      <c r="L175" s="305">
        <f>J175*G175</f>
        <v>0</v>
      </c>
      <c r="M175" s="257"/>
      <c r="N175" s="257"/>
      <c r="O175" s="257"/>
    </row>
    <row r="176" spans="2:15">
      <c r="B176" s="258">
        <f>+B175+1</f>
        <v>96</v>
      </c>
      <c r="C176" s="259"/>
      <c r="D176" s="254" t="s">
        <v>111</v>
      </c>
      <c r="E176" s="257" t="str">
        <f>"(ln "&amp;B174&amp;" + ln "&amp;B175&amp;")"</f>
        <v>(ln 94 + ln 95)</v>
      </c>
      <c r="F176" s="257"/>
      <c r="G176" s="270">
        <f>+G174+G175</f>
        <v>67698694.853148505</v>
      </c>
      <c r="H176" s="270"/>
      <c r="I176" s="271"/>
      <c r="J176" s="257"/>
      <c r="K176" s="257"/>
      <c r="L176" s="270">
        <f>+L174+L175</f>
        <v>28795918.520992912</v>
      </c>
      <c r="M176" s="257"/>
      <c r="N176" s="257"/>
      <c r="O176" s="257"/>
    </row>
    <row r="177" spans="2:15">
      <c r="B177" s="258"/>
      <c r="C177" s="259"/>
      <c r="D177" s="254"/>
      <c r="E177" s="257"/>
      <c r="F177" s="257"/>
      <c r="G177" s="270"/>
      <c r="H177" s="257"/>
      <c r="I177" s="257"/>
      <c r="J177" s="257"/>
      <c r="K177" s="257"/>
      <c r="L177" s="270"/>
      <c r="M177" s="257"/>
      <c r="N177" s="257"/>
      <c r="O177" s="257"/>
    </row>
    <row r="178" spans="2:15">
      <c r="B178" s="258">
        <f>+B176+1</f>
        <v>97</v>
      </c>
      <c r="C178" s="259"/>
      <c r="D178" s="254" t="s">
        <v>114</v>
      </c>
      <c r="E178" s="271"/>
      <c r="F178" s="271"/>
      <c r="G178" s="270"/>
      <c r="H178" s="257"/>
      <c r="I178" s="271"/>
      <c r="J178" s="257"/>
      <c r="K178" s="257"/>
      <c r="L178" s="270"/>
      <c r="M178" s="257"/>
      <c r="N178" s="257"/>
      <c r="O178" s="257"/>
    </row>
    <row r="179" spans="2:15">
      <c r="B179" s="258">
        <f t="shared" ref="B179:B183" si="9">+B178+1</f>
        <v>98</v>
      </c>
      <c r="C179" s="259"/>
      <c r="D179" s="254" t="s">
        <v>127</v>
      </c>
      <c r="E179" s="268" t="s">
        <v>425</v>
      </c>
      <c r="F179" s="271"/>
      <c r="G179" s="1174">
        <f>94054798+172505236+3586006+2900558+261584</f>
        <v>273308182</v>
      </c>
      <c r="H179" s="257"/>
      <c r="I179" s="271" t="s">
        <v>128</v>
      </c>
      <c r="J179" s="272">
        <v>0</v>
      </c>
      <c r="K179" s="257"/>
      <c r="L179" s="270">
        <f>+G179*J179</f>
        <v>0</v>
      </c>
      <c r="M179" s="257"/>
      <c r="N179" s="257"/>
      <c r="O179" s="257"/>
    </row>
    <row r="180" spans="2:15">
      <c r="B180" s="258">
        <f t="shared" si="9"/>
        <v>99</v>
      </c>
      <c r="C180" s="259"/>
      <c r="D180" s="254" t="s">
        <v>131</v>
      </c>
      <c r="E180" s="268" t="s">
        <v>424</v>
      </c>
      <c r="F180" s="271"/>
      <c r="G180" s="1174">
        <v>102029851</v>
      </c>
      <c r="H180" s="257"/>
      <c r="I180" s="271" t="s">
        <v>128</v>
      </c>
      <c r="J180" s="272">
        <v>0</v>
      </c>
      <c r="K180" s="257"/>
      <c r="L180" s="270">
        <f>+G180*J180</f>
        <v>0</v>
      </c>
      <c r="M180" s="257"/>
      <c r="N180" s="257"/>
      <c r="O180" s="257"/>
    </row>
    <row r="181" spans="2:15">
      <c r="B181" s="258">
        <f t="shared" si="9"/>
        <v>100</v>
      </c>
      <c r="C181" s="259"/>
      <c r="D181" s="300" t="str">
        <f>+D150</f>
        <v xml:space="preserve">  Transmission </v>
      </c>
      <c r="E181" s="268" t="s">
        <v>420</v>
      </c>
      <c r="F181" s="301"/>
      <c r="G181" s="1174">
        <v>52930493</v>
      </c>
      <c r="H181" s="329"/>
      <c r="I181" s="302" t="s">
        <v>26</v>
      </c>
      <c r="J181" s="272">
        <f>J82</f>
        <v>0.97155398321688669</v>
      </c>
      <c r="K181" s="303"/>
      <c r="L181" s="304">
        <f>J181*G181</f>
        <v>51424831.307783537</v>
      </c>
      <c r="M181" s="303"/>
      <c r="N181" s="257"/>
      <c r="O181" s="257"/>
    </row>
    <row r="182" spans="2:15">
      <c r="B182" s="258">
        <f>+B181+1</f>
        <v>101</v>
      </c>
      <c r="C182" s="259"/>
      <c r="D182" s="254" t="s">
        <v>137</v>
      </c>
      <c r="E182" s="301" t="s">
        <v>421</v>
      </c>
      <c r="F182" s="257"/>
      <c r="G182" s="1174">
        <v>55090546</v>
      </c>
      <c r="H182" s="270"/>
      <c r="I182" s="271" t="s">
        <v>133</v>
      </c>
      <c r="J182" s="272">
        <f>L257</f>
        <v>4.9622134516203481E-2</v>
      </c>
      <c r="K182" s="257"/>
      <c r="L182" s="270">
        <f>+J182*G182</f>
        <v>2733710.4841830954</v>
      </c>
      <c r="M182" s="257"/>
      <c r="N182" s="257"/>
      <c r="O182" s="257"/>
    </row>
    <row r="183" spans="2:15">
      <c r="B183" s="258">
        <f t="shared" si="9"/>
        <v>102</v>
      </c>
      <c r="C183" s="259"/>
      <c r="D183" s="254" t="s">
        <v>138</v>
      </c>
      <c r="E183" s="301" t="s">
        <v>422</v>
      </c>
      <c r="F183" s="257"/>
      <c r="G183" s="1174">
        <v>1879681</v>
      </c>
      <c r="H183" s="270"/>
      <c r="I183" s="271" t="s">
        <v>133</v>
      </c>
      <c r="J183" s="272">
        <f>L257</f>
        <v>4.9622134516203481E-2</v>
      </c>
      <c r="K183" s="257"/>
      <c r="L183" s="270">
        <f>+J183*G183</f>
        <v>93273.78342955187</v>
      </c>
      <c r="M183" s="257"/>
      <c r="N183" s="257"/>
      <c r="O183" s="257"/>
    </row>
    <row r="184" spans="2:15" ht="15.75" thickBot="1">
      <c r="B184" s="258" t="s">
        <v>1381</v>
      </c>
      <c r="C184" s="259"/>
      <c r="D184" s="254" t="s">
        <v>1382</v>
      </c>
      <c r="E184" s="268" t="s">
        <v>1383</v>
      </c>
      <c r="F184" s="257"/>
      <c r="G184" s="617">
        <v>9418</v>
      </c>
      <c r="H184" s="257"/>
      <c r="I184" s="271" t="s">
        <v>1406</v>
      </c>
      <c r="J184" s="272">
        <f>$L$246</f>
        <v>0</v>
      </c>
      <c r="K184" s="257"/>
      <c r="L184" s="305">
        <f>+G184*J184</f>
        <v>0</v>
      </c>
      <c r="M184" s="257"/>
      <c r="N184" s="257"/>
      <c r="O184" s="257"/>
    </row>
    <row r="185" spans="2:15">
      <c r="B185" s="258">
        <f>+B183+1</f>
        <v>103</v>
      </c>
      <c r="C185" s="259"/>
      <c r="D185" s="254" t="s">
        <v>302</v>
      </c>
      <c r="E185" s="1207" t="str">
        <f>"(Ln "&amp;B179&amp;"+"&amp;B180&amp;"+
"&amp;B181&amp;"+"&amp;B182&amp;"+"&amp;B183&amp;")"</f>
        <v>(Ln 98+99+
100+101+102)</v>
      </c>
      <c r="F185" s="257"/>
      <c r="G185" s="270">
        <f>+G179+G180+G181+G182+G183+G184</f>
        <v>485248171</v>
      </c>
      <c r="H185" s="257"/>
      <c r="I185" s="271"/>
      <c r="J185" s="257"/>
      <c r="K185" s="257"/>
      <c r="L185" s="270">
        <f>+L179+L180+L181+L182+L183+L184</f>
        <v>54251815.57539618</v>
      </c>
      <c r="M185" s="257"/>
      <c r="N185" s="257"/>
      <c r="O185" s="257"/>
    </row>
    <row r="186" spans="2:15">
      <c r="B186" s="258"/>
      <c r="C186" s="259"/>
      <c r="D186" s="254"/>
      <c r="E186" s="1208"/>
      <c r="F186" s="257"/>
      <c r="G186" s="270"/>
      <c r="H186" s="257"/>
      <c r="I186" s="271"/>
      <c r="J186" s="257"/>
      <c r="K186" s="257"/>
      <c r="L186" s="270"/>
      <c r="M186" s="257"/>
      <c r="N186" s="257"/>
      <c r="O186" s="257"/>
    </row>
    <row r="187" spans="2:15">
      <c r="B187" s="258">
        <f>+B185+1</f>
        <v>104</v>
      </c>
      <c r="C187" s="259"/>
      <c r="D187" s="254" t="s">
        <v>33</v>
      </c>
      <c r="E187" s="250" t="s">
        <v>423</v>
      </c>
      <c r="G187" s="270"/>
      <c r="H187" s="257"/>
      <c r="I187" s="271"/>
      <c r="J187" s="257"/>
      <c r="K187" s="257"/>
      <c r="L187" s="270"/>
      <c r="M187" s="257"/>
      <c r="N187" s="322"/>
      <c r="O187" s="257"/>
    </row>
    <row r="188" spans="2:15">
      <c r="B188" s="258">
        <f t="shared" ref="B188:B193" si="10">+B187+1</f>
        <v>105</v>
      </c>
      <c r="C188" s="259"/>
      <c r="D188" s="254" t="s">
        <v>139</v>
      </c>
      <c r="G188" s="270"/>
      <c r="H188" s="257"/>
      <c r="I188" s="271"/>
      <c r="K188" s="257"/>
      <c r="L188" s="270"/>
      <c r="M188" s="257"/>
      <c r="N188" s="257"/>
      <c r="O188" s="257"/>
    </row>
    <row r="189" spans="2:15">
      <c r="B189" s="258">
        <f t="shared" si="10"/>
        <v>106</v>
      </c>
      <c r="C189" s="259"/>
      <c r="D189" s="254" t="s">
        <v>140</v>
      </c>
      <c r="E189" s="257" t="str">
        <f>"Worksheet H ln "&amp;'WS H Other Taxes'!A42&amp;"."&amp;'WS H Other Taxes'!I10&amp;""</f>
        <v>Worksheet H ln 23.(D)</v>
      </c>
      <c r="F189" s="257"/>
      <c r="G189" s="270">
        <f>+'WS H Other Taxes'!I42</f>
        <v>14131184</v>
      </c>
      <c r="H189" s="270"/>
      <c r="I189" s="271" t="s">
        <v>133</v>
      </c>
      <c r="J189" s="272">
        <f>L257</f>
        <v>4.9622134516203481E-2</v>
      </c>
      <c r="K189" s="257"/>
      <c r="L189" s="270">
        <f>+J189*G189</f>
        <v>701219.51332122239</v>
      </c>
      <c r="M189" s="317"/>
      <c r="N189" s="257"/>
      <c r="O189" s="257"/>
    </row>
    <row r="190" spans="2:15">
      <c r="B190" s="258">
        <f t="shared" si="10"/>
        <v>107</v>
      </c>
      <c r="C190" s="259"/>
      <c r="D190" s="254" t="s">
        <v>141</v>
      </c>
      <c r="E190" s="257" t="s">
        <v>115</v>
      </c>
      <c r="F190" s="257"/>
      <c r="G190" s="270"/>
      <c r="H190" s="270"/>
      <c r="I190" s="271"/>
      <c r="K190" s="257"/>
      <c r="L190" s="270"/>
      <c r="M190" s="257"/>
      <c r="N190" s="257"/>
      <c r="O190" s="257"/>
    </row>
    <row r="191" spans="2:15">
      <c r="B191" s="258">
        <f t="shared" si="10"/>
        <v>108</v>
      </c>
      <c r="C191" s="259"/>
      <c r="D191" s="254" t="s">
        <v>142</v>
      </c>
      <c r="E191" s="257" t="str">
        <f>"Worksheet H ln "&amp;'WS H Other Taxes'!A42&amp;"."&amp;'WS H Other Taxes'!G10&amp;""</f>
        <v>Worksheet H ln 23.(C)</v>
      </c>
      <c r="F191" s="257"/>
      <c r="G191" s="270">
        <f>+'WS H Other Taxes'!G42</f>
        <v>74864982.310000002</v>
      </c>
      <c r="H191" s="270"/>
      <c r="I191" s="271" t="s">
        <v>130</v>
      </c>
      <c r="J191" s="272"/>
      <c r="K191" s="257"/>
      <c r="L191" s="322">
        <f>'WS H-1-Detail of Tax Amts'!I26</f>
        <v>12071487.717097254</v>
      </c>
      <c r="M191" s="330"/>
      <c r="N191" s="322"/>
      <c r="O191" s="257"/>
    </row>
    <row r="192" spans="2:15">
      <c r="B192" s="258">
        <f t="shared" si="10"/>
        <v>109</v>
      </c>
      <c r="C192" s="259"/>
      <c r="D192" s="254" t="s">
        <v>201</v>
      </c>
      <c r="E192" s="257" t="str">
        <f>"Worksheet H ln "&amp;'WS H Other Taxes'!A42&amp;"."&amp;'WS H Other Taxes'!M10&amp;""</f>
        <v>Worksheet H ln 23.(F)</v>
      </c>
      <c r="F192" s="257"/>
      <c r="G192" s="270">
        <f>+'WS H Other Taxes'!M42</f>
        <v>62639</v>
      </c>
      <c r="H192" s="72"/>
      <c r="I192" s="271" t="s">
        <v>128</v>
      </c>
      <c r="J192" s="272">
        <v>0</v>
      </c>
      <c r="K192" s="257"/>
      <c r="L192" s="270">
        <f>+J192*G192</f>
        <v>0</v>
      </c>
      <c r="M192" s="257"/>
      <c r="N192" s="257"/>
      <c r="O192" s="257"/>
    </row>
    <row r="193" spans="2:15" ht="15.75" thickBot="1">
      <c r="B193" s="258">
        <f t="shared" si="10"/>
        <v>110</v>
      </c>
      <c r="C193" s="259"/>
      <c r="D193" s="254" t="s">
        <v>143</v>
      </c>
      <c r="E193" s="257" t="str">
        <f>"Worksheet H ln "&amp;'WS H Other Taxes'!A42&amp;"."&amp;'WS H Other Taxes'!K10&amp;""</f>
        <v>Worksheet H ln 23.(E)</v>
      </c>
      <c r="F193" s="257"/>
      <c r="G193" s="305">
        <f>+'WS H Other Taxes'!K42</f>
        <v>0</v>
      </c>
      <c r="H193" s="72"/>
      <c r="I193" s="271" t="s">
        <v>750</v>
      </c>
      <c r="J193" s="272">
        <f>J77</f>
        <v>0.1723477993368745</v>
      </c>
      <c r="K193" s="257"/>
      <c r="L193" s="305">
        <f>+J193*G193</f>
        <v>0</v>
      </c>
      <c r="M193" s="257"/>
      <c r="N193" s="257"/>
      <c r="O193" s="257"/>
    </row>
    <row r="194" spans="2:15">
      <c r="B194" s="258">
        <f>+B193+1</f>
        <v>111</v>
      </c>
      <c r="C194" s="259"/>
      <c r="D194" s="254" t="s">
        <v>34</v>
      </c>
      <c r="E194" s="268" t="str">
        <f>"(sum lns "&amp;B189&amp;" to "&amp;B193&amp;")"</f>
        <v>(sum lns 106 to 110)</v>
      </c>
      <c r="F194" s="257"/>
      <c r="G194" s="270">
        <f>SUM(G189:G193)</f>
        <v>89058805.310000002</v>
      </c>
      <c r="H194" s="257"/>
      <c r="I194" s="271"/>
      <c r="J194" s="331"/>
      <c r="K194" s="257"/>
      <c r="L194" s="270">
        <f>SUM(L189:L193)</f>
        <v>12772707.230418477</v>
      </c>
      <c r="M194" s="257"/>
      <c r="N194" s="257"/>
      <c r="O194" s="257"/>
    </row>
    <row r="195" spans="2:15">
      <c r="B195" s="258"/>
      <c r="C195" s="259"/>
      <c r="D195" s="254"/>
      <c r="E195" s="257"/>
      <c r="F195" s="257"/>
      <c r="G195" s="257"/>
      <c r="H195" s="257"/>
      <c r="I195" s="271"/>
      <c r="J195" s="331"/>
      <c r="K195" s="257"/>
      <c r="L195" s="257"/>
      <c r="M195" s="316"/>
      <c r="N195" s="257"/>
      <c r="O195" s="257"/>
    </row>
    <row r="196" spans="2:15">
      <c r="B196" s="258">
        <f>+B194+1</f>
        <v>112</v>
      </c>
      <c r="C196" s="259"/>
      <c r="D196" s="254" t="s">
        <v>338</v>
      </c>
      <c r="E196" s="257" t="s">
        <v>426</v>
      </c>
      <c r="F196" s="332"/>
      <c r="G196" s="257"/>
      <c r="H196" s="72"/>
      <c r="I196" s="323"/>
      <c r="K196" s="257"/>
      <c r="L196" s="333"/>
      <c r="M196" s="257"/>
      <c r="N196" s="257"/>
      <c r="O196" s="257"/>
    </row>
    <row r="197" spans="2:15">
      <c r="B197" s="258">
        <f t="shared" ref="B197:B204" si="11">+B196+1</f>
        <v>113</v>
      </c>
      <c r="C197" s="259"/>
      <c r="D197" s="317" t="s">
        <v>339</v>
      </c>
      <c r="E197" s="257"/>
      <c r="F197" s="334"/>
      <c r="G197" s="335">
        <f>IF(F355&gt;0,1-(((1-F356)*(1-F355))/(1-F356*F355*F357)),0)</f>
        <v>0.24798003999999996</v>
      </c>
      <c r="H197" s="336"/>
      <c r="I197" s="336"/>
      <c r="K197" s="337"/>
      <c r="L197" s="333"/>
      <c r="M197" s="257"/>
      <c r="N197" s="257"/>
      <c r="O197" s="257"/>
    </row>
    <row r="198" spans="2:15">
      <c r="B198" s="258">
        <f t="shared" si="11"/>
        <v>114</v>
      </c>
      <c r="C198" s="259"/>
      <c r="D198" s="250" t="s">
        <v>340</v>
      </c>
      <c r="E198" s="257"/>
      <c r="F198" s="334"/>
      <c r="G198" s="335">
        <f>IF(L271&gt;0,($G197/(1-$G197))*(1-$L271/$L274),0)</f>
        <v>0.23962406081794621</v>
      </c>
      <c r="H198" s="336"/>
      <c r="I198" s="336"/>
      <c r="K198" s="337"/>
      <c r="L198" s="333"/>
      <c r="M198" s="257"/>
      <c r="N198" s="257"/>
      <c r="O198" s="257"/>
    </row>
    <row r="199" spans="2:15">
      <c r="B199" s="258">
        <f t="shared" si="11"/>
        <v>115</v>
      </c>
      <c r="C199" s="259"/>
      <c r="D199" s="254" t="str">
        <f>"       where WCLTD=(ln "&amp;B271&amp;") and WACC = (ln "&amp;B274&amp;")"</f>
        <v xml:space="preserve">       where WCLTD=(ln 154) and WACC = (ln 157)</v>
      </c>
      <c r="E199" s="257"/>
      <c r="F199" s="332"/>
      <c r="G199" s="257"/>
      <c r="H199" s="336"/>
      <c r="I199" s="336"/>
      <c r="J199" s="338"/>
      <c r="K199" s="337"/>
      <c r="L199" s="339"/>
      <c r="M199" s="257"/>
      <c r="N199" s="257"/>
      <c r="O199" s="257"/>
    </row>
    <row r="200" spans="2:15">
      <c r="B200" s="258">
        <f t="shared" si="11"/>
        <v>116</v>
      </c>
      <c r="C200" s="259"/>
      <c r="D200" s="254" t="s">
        <v>429</v>
      </c>
      <c r="E200" s="340"/>
      <c r="F200" s="334"/>
      <c r="G200" s="257"/>
      <c r="H200" s="72"/>
      <c r="I200" s="323"/>
      <c r="J200" s="338"/>
      <c r="K200" s="337"/>
      <c r="L200" s="333"/>
      <c r="M200" s="257"/>
      <c r="N200" s="257"/>
      <c r="O200" s="257"/>
    </row>
    <row r="201" spans="2:15">
      <c r="B201" s="258">
        <f t="shared" si="11"/>
        <v>117</v>
      </c>
      <c r="C201" s="259"/>
      <c r="D201" s="317" t="str">
        <f>"      GRCF=1 / (1 - T)  = (from ln "&amp;B197&amp;")"</f>
        <v xml:space="preserve">      GRCF=1 / (1 - T)  = (from ln 113)</v>
      </c>
      <c r="E201" s="332"/>
      <c r="F201" s="332"/>
      <c r="G201" s="341">
        <f>IF(G197&gt;0,1/(1-G197),0)</f>
        <v>1.32975193903098</v>
      </c>
      <c r="H201" s="72"/>
      <c r="I201" s="284"/>
      <c r="J201" s="342"/>
      <c r="K201" s="343"/>
      <c r="L201" s="344"/>
      <c r="M201" s="257"/>
      <c r="N201" s="257"/>
      <c r="O201" s="257"/>
    </row>
    <row r="202" spans="2:15">
      <c r="B202" s="258">
        <f t="shared" si="11"/>
        <v>118</v>
      </c>
      <c r="C202" s="259"/>
      <c r="D202" s="254" t="s">
        <v>341</v>
      </c>
      <c r="E202" s="311" t="s">
        <v>505</v>
      </c>
      <c r="F202" s="332"/>
      <c r="G202" s="616">
        <v>-1195344</v>
      </c>
      <c r="H202" s="72"/>
      <c r="I202" s="284"/>
      <c r="J202" s="345"/>
      <c r="K202" s="343"/>
      <c r="L202" s="333"/>
      <c r="M202" s="271"/>
      <c r="N202" s="257"/>
      <c r="O202" s="257"/>
    </row>
    <row r="203" spans="2:15">
      <c r="B203" s="258">
        <f t="shared" si="11"/>
        <v>119</v>
      </c>
      <c r="C203" s="259"/>
      <c r="D203" s="250" t="s">
        <v>534</v>
      </c>
      <c r="E203" s="257" t="s">
        <v>547</v>
      </c>
      <c r="F203" s="346"/>
      <c r="G203" s="616">
        <v>-15158227.788498908</v>
      </c>
      <c r="H203" s="203"/>
      <c r="I203" s="271" t="s">
        <v>130</v>
      </c>
      <c r="J203" s="345"/>
      <c r="K203" s="343"/>
      <c r="L203" s="616">
        <v>-3137354.0348775089</v>
      </c>
      <c r="M203" s="271"/>
      <c r="N203" s="257"/>
      <c r="O203" s="257"/>
    </row>
    <row r="204" spans="2:15">
      <c r="B204" s="258">
        <f t="shared" si="11"/>
        <v>120</v>
      </c>
      <c r="C204" s="259"/>
      <c r="D204" s="250" t="s">
        <v>740</v>
      </c>
      <c r="E204" s="257" t="s">
        <v>547</v>
      </c>
      <c r="F204" s="346"/>
      <c r="G204" s="616">
        <v>4707317.7256461643</v>
      </c>
      <c r="H204" s="203"/>
      <c r="I204" s="271" t="s">
        <v>130</v>
      </c>
      <c r="J204" s="345"/>
      <c r="K204" s="343"/>
      <c r="L204" s="616">
        <v>2015075.0631160007</v>
      </c>
      <c r="M204" s="271"/>
      <c r="N204" s="257"/>
      <c r="O204" s="257"/>
    </row>
    <row r="205" spans="2:15">
      <c r="B205" s="258"/>
      <c r="C205" s="259"/>
      <c r="D205" s="254"/>
      <c r="E205" s="257"/>
      <c r="F205" s="334"/>
      <c r="G205" s="270"/>
      <c r="H205" s="72"/>
      <c r="I205" s="284"/>
      <c r="J205" s="347"/>
      <c r="K205" s="343"/>
      <c r="L205" s="333"/>
      <c r="M205" s="257"/>
      <c r="N205" s="257"/>
      <c r="O205" s="257"/>
    </row>
    <row r="206" spans="2:15">
      <c r="B206" s="258">
        <f>+B204+1</f>
        <v>121</v>
      </c>
      <c r="C206" s="259"/>
      <c r="D206" s="317" t="s">
        <v>342</v>
      </c>
      <c r="E206" s="346" t="str">
        <f>"(ln "&amp;B198&amp;" * ln "&amp;B213&amp;")"</f>
        <v>(ln 114 * ln 126)</v>
      </c>
      <c r="F206" s="348"/>
      <c r="G206" s="270">
        <f>+G198*G213</f>
        <v>107472941.02808262</v>
      </c>
      <c r="H206" s="72"/>
      <c r="I206" s="284"/>
      <c r="J206" s="347"/>
      <c r="K206" s="270"/>
      <c r="L206" s="270">
        <f>+L213*G198</f>
        <v>22989499.72177555</v>
      </c>
      <c r="M206" s="257"/>
      <c r="N206" s="257"/>
      <c r="O206" s="257"/>
    </row>
    <row r="207" spans="2:15">
      <c r="B207" s="258">
        <f>+B206+1</f>
        <v>122</v>
      </c>
      <c r="C207" s="259"/>
      <c r="D207" s="250" t="s">
        <v>343</v>
      </c>
      <c r="E207" s="346" t="str">
        <f>"(ln "&amp;B201&amp;" * ln "&amp;B202&amp;")"</f>
        <v>(ln 117 * ln 118)</v>
      </c>
      <c r="F207" s="346"/>
      <c r="G207" s="270">
        <f>G201*G202</f>
        <v>-1589511.0018090478</v>
      </c>
      <c r="H207" s="72"/>
      <c r="I207" s="271" t="s">
        <v>750</v>
      </c>
      <c r="J207" s="272">
        <f>J77</f>
        <v>0.1723477993368745</v>
      </c>
      <c r="K207" s="270"/>
      <c r="L207" s="270">
        <f>+G207*J207</f>
        <v>-273948.7231835401</v>
      </c>
      <c r="M207" s="257"/>
      <c r="N207" s="257"/>
      <c r="O207" s="257"/>
    </row>
    <row r="208" spans="2:15">
      <c r="B208" s="258">
        <f>B207+1</f>
        <v>123</v>
      </c>
      <c r="C208" s="259"/>
      <c r="D208" s="250" t="s">
        <v>534</v>
      </c>
      <c r="E208" s="346" t="str">
        <f>"(ln "&amp;B201&amp;" * ln "&amp;B203&amp;")"</f>
        <v>(ln 117 * ln 119)</v>
      </c>
      <c r="F208" s="346"/>
      <c r="G208" s="270">
        <f>G203*G201</f>
        <v>-20156682.794029705</v>
      </c>
      <c r="H208" s="72"/>
      <c r="I208" s="286"/>
      <c r="J208" s="272"/>
      <c r="K208" s="270"/>
      <c r="L208" s="270">
        <f>L203*G201</f>
        <v>-4171902.6113050361</v>
      </c>
      <c r="M208" s="257"/>
      <c r="N208" s="257"/>
      <c r="O208" s="257"/>
    </row>
    <row r="209" spans="2:15">
      <c r="B209" s="258">
        <f>B208+1</f>
        <v>124</v>
      </c>
      <c r="C209" s="259"/>
      <c r="D209" s="250" t="s">
        <v>740</v>
      </c>
      <c r="E209" s="346" t="str">
        <f>"(ln "&amp;B201&amp;" * ln "&amp;B204&amp;")"</f>
        <v>(ln 117 * ln 120)</v>
      </c>
      <c r="F209" s="346"/>
      <c r="G209" s="349">
        <f>G204*G201</f>
        <v>6259564.8733128896</v>
      </c>
      <c r="H209" s="72"/>
      <c r="I209" s="286"/>
      <c r="J209" s="272"/>
      <c r="K209" s="270"/>
      <c r="L209" s="349">
        <f>L204*G201</f>
        <v>2679549.9724714765</v>
      </c>
      <c r="M209" s="257"/>
      <c r="N209" s="257"/>
      <c r="O209" s="257"/>
    </row>
    <row r="210" spans="2:15">
      <c r="B210" s="258"/>
      <c r="C210" s="259"/>
      <c r="E210" s="346"/>
      <c r="F210" s="346"/>
      <c r="G210" s="270"/>
      <c r="H210" s="72"/>
      <c r="I210" s="286"/>
      <c r="J210" s="272"/>
      <c r="K210" s="270"/>
      <c r="L210" s="270"/>
      <c r="M210" s="257"/>
      <c r="N210" s="257"/>
      <c r="O210" s="257"/>
    </row>
    <row r="211" spans="2:15">
      <c r="B211" s="258">
        <f>+B209+1</f>
        <v>125</v>
      </c>
      <c r="C211" s="259"/>
      <c r="D211" s="317" t="s">
        <v>36</v>
      </c>
      <c r="E211" s="257" t="str">
        <f>"(sum lns "&amp;B206&amp;" to "&amp;B209&amp;")"</f>
        <v>(sum lns 121 to 124)</v>
      </c>
      <c r="F211" s="346"/>
      <c r="G211" s="286">
        <f>SUM(G206:G209)</f>
        <v>91986312.105556756</v>
      </c>
      <c r="H211" s="72"/>
      <c r="I211" s="284" t="s">
        <v>115</v>
      </c>
      <c r="J211" s="350"/>
      <c r="K211" s="270"/>
      <c r="L211" s="286">
        <f>SUM(L206:L209)</f>
        <v>21223198.359758452</v>
      </c>
      <c r="M211" s="257"/>
      <c r="N211" s="257"/>
      <c r="O211" s="257"/>
    </row>
    <row r="212" spans="2:15">
      <c r="B212" s="258"/>
      <c r="C212" s="259"/>
      <c r="D212" s="254"/>
      <c r="E212" s="257"/>
      <c r="F212" s="257"/>
      <c r="G212" s="257"/>
      <c r="H212" s="257"/>
      <c r="I212" s="271"/>
      <c r="J212" s="331"/>
      <c r="K212" s="257"/>
      <c r="L212" s="257"/>
      <c r="M212" s="257"/>
      <c r="N212" s="257"/>
      <c r="O212" s="257"/>
    </row>
    <row r="213" spans="2:15">
      <c r="B213" s="258">
        <f>+B211+1</f>
        <v>126</v>
      </c>
      <c r="C213" s="259"/>
      <c r="D213" s="317" t="s">
        <v>200</v>
      </c>
      <c r="E213" s="317" t="str">
        <f>"(ln "&amp;B131&amp;" * ln "&amp;B274&amp;")"</f>
        <v>(ln 68 * ln 157)</v>
      </c>
      <c r="F213" s="313"/>
      <c r="G213" s="270">
        <f>+$L274*G131</f>
        <v>448506467.4274714</v>
      </c>
      <c r="H213" s="257"/>
      <c r="I213" s="284"/>
      <c r="J213" s="270"/>
      <c r="K213" s="270"/>
      <c r="L213" s="270">
        <f>+L274*L131</f>
        <v>95939863.648508012</v>
      </c>
      <c r="M213" s="257"/>
      <c r="N213" s="333"/>
      <c r="O213" s="333"/>
    </row>
    <row r="214" spans="2:15">
      <c r="B214" s="258"/>
      <c r="C214" s="259"/>
      <c r="D214" s="317"/>
      <c r="G214" s="270"/>
      <c r="H214" s="270"/>
      <c r="I214" s="284"/>
      <c r="J214" s="284"/>
      <c r="K214" s="270"/>
      <c r="L214" s="270"/>
      <c r="M214" s="257"/>
    </row>
    <row r="215" spans="2:15">
      <c r="B215" s="258">
        <f>+B213+1</f>
        <v>127</v>
      </c>
      <c r="C215" s="259"/>
      <c r="D215" s="351" t="s">
        <v>100</v>
      </c>
      <c r="F215" s="301"/>
      <c r="G215" s="270">
        <f>-'WS D IPP Credits'!C13</f>
        <v>0</v>
      </c>
      <c r="H215" s="270"/>
      <c r="I215" s="320" t="s">
        <v>130</v>
      </c>
      <c r="J215" s="272">
        <v>1</v>
      </c>
      <c r="K215" s="304"/>
      <c r="L215" s="270">
        <f>+J215*G215</f>
        <v>0</v>
      </c>
      <c r="M215" s="303"/>
    </row>
    <row r="216" spans="2:15">
      <c r="B216" s="258"/>
      <c r="C216" s="259"/>
      <c r="D216" s="351"/>
      <c r="F216" s="301"/>
      <c r="G216" s="270"/>
      <c r="H216" s="270"/>
      <c r="I216" s="320"/>
      <c r="J216" s="272"/>
      <c r="K216" s="304"/>
      <c r="L216" s="270"/>
      <c r="M216" s="303"/>
    </row>
    <row r="217" spans="2:15">
      <c r="B217" s="258">
        <f>+B215+1</f>
        <v>128</v>
      </c>
      <c r="C217" s="259"/>
      <c r="D217" s="351" t="str">
        <f>"(Gains) / Losses on Sales of Plant Held for Future Use (Worksheet N, ln "&amp;'WS N - Sale of Plant Held'!A33&amp;", Cols. ("&amp;'WS N - Sale of Plant Held'!O12&amp;" &amp; "&amp;'WS N - Sale of Plant Held'!S12&amp;")"</f>
        <v>(Gains) / Losses on Sales of Plant Held for Future Use (Worksheet N, ln 4, Cols. ((F) &amp; (H))</v>
      </c>
      <c r="F217" s="301"/>
      <c r="G217" s="270">
        <f>+'WS N - Sale of Plant Held'!O33</f>
        <v>0</v>
      </c>
      <c r="H217" s="270"/>
      <c r="I217" s="320"/>
      <c r="J217" s="272"/>
      <c r="K217" s="304"/>
      <c r="L217" s="270">
        <f>'WS N - Sale of Plant Held'!S33</f>
        <v>0</v>
      </c>
      <c r="M217" s="303"/>
    </row>
    <row r="218" spans="2:15">
      <c r="B218" s="258"/>
      <c r="C218" s="259"/>
      <c r="D218" s="351"/>
      <c r="F218" s="301"/>
      <c r="G218" s="270"/>
      <c r="H218" s="270"/>
      <c r="I218" s="320"/>
      <c r="J218" s="272"/>
      <c r="K218" s="304"/>
      <c r="L218" s="270"/>
      <c r="M218" s="303"/>
    </row>
    <row r="219" spans="2:15">
      <c r="B219" s="258">
        <f>+B217+1</f>
        <v>129</v>
      </c>
      <c r="C219" s="259"/>
      <c r="D219" s="351" t="str">
        <f>" Tax Impact on Net Loss / (Gain) on Sales of Plant Held for Future Use (ln "&amp;B217&amp;" * ln"&amp;B198&amp;")"</f>
        <v xml:space="preserve"> Tax Impact on Net Loss / (Gain) on Sales of Plant Held for Future Use (ln 128 * ln114)</v>
      </c>
      <c r="F219" s="301"/>
      <c r="G219" s="270">
        <f>-+G198*G217</f>
        <v>0</v>
      </c>
      <c r="H219" s="270"/>
      <c r="I219" s="320"/>
      <c r="J219" s="272"/>
      <c r="K219" s="304"/>
      <c r="L219" s="270">
        <f>L217*-G198</f>
        <v>0</v>
      </c>
      <c r="M219" s="303"/>
    </row>
    <row r="220" spans="2:15" ht="15.75" thickBot="1">
      <c r="B220" s="258"/>
      <c r="C220" s="259"/>
      <c r="D220" s="254"/>
      <c r="G220" s="305"/>
      <c r="H220" s="352"/>
      <c r="I220" s="284"/>
      <c r="J220" s="284"/>
      <c r="K220" s="270"/>
      <c r="L220" s="305"/>
      <c r="M220" s="257"/>
    </row>
    <row r="221" spans="2:15" ht="15.75" thickBot="1">
      <c r="B221" s="258">
        <f>+B219+1</f>
        <v>130</v>
      </c>
      <c r="C221" s="259"/>
      <c r="D221" s="250" t="s">
        <v>250</v>
      </c>
      <c r="G221" s="353">
        <f>+G215+G213+G211+G194+G185+G176+G217+G219</f>
        <v>1182498450.6961765</v>
      </c>
      <c r="L221" s="353">
        <f>+L215+L213+L211+L194+L185+L176+L217+L219</f>
        <v>212983503.33507404</v>
      </c>
      <c r="M221" s="257"/>
    </row>
    <row r="222" spans="2:15" ht="15.75" thickTop="1">
      <c r="B222" s="258"/>
      <c r="C222" s="259"/>
      <c r="D222" s="254" t="str">
        <f>"    (sum lns "&amp;B176&amp;", "&amp;B185&amp;", "&amp;B194&amp;", "&amp;B211&amp;", "&amp;B213&amp;", "&amp;B215&amp;", "&amp;B217&amp;", "&amp;B219&amp;")"</f>
        <v xml:space="preserve">    (sum lns 96, 103, 111, 125, 126, 127, 128, 129)</v>
      </c>
      <c r="F222" s="266"/>
      <c r="M222" s="257"/>
    </row>
    <row r="223" spans="2:15">
      <c r="B223" s="258"/>
      <c r="C223" s="259"/>
      <c r="F223" s="266"/>
      <c r="M223" s="257"/>
    </row>
    <row r="224" spans="2:15">
      <c r="B224" s="258"/>
      <c r="C224" s="259"/>
      <c r="D224" s="254"/>
      <c r="F224" s="323" t="str">
        <f>F134</f>
        <v xml:space="preserve">AEP East Companies </v>
      </c>
      <c r="M224" s="322"/>
    </row>
    <row r="225" spans="2:16">
      <c r="B225" s="258"/>
      <c r="C225" s="259"/>
      <c r="D225" s="254"/>
      <c r="F225" s="323" t="str">
        <f>F135</f>
        <v>Transmission Cost of Service Formula Rate</v>
      </c>
      <c r="M225" s="322"/>
    </row>
    <row r="226" spans="2:16">
      <c r="B226" s="250"/>
      <c r="C226" s="259"/>
      <c r="F226" s="323" t="str">
        <f>F136</f>
        <v>Utilizing  Actual/Projected FERC Form 1 Data</v>
      </c>
      <c r="M226" s="289"/>
    </row>
    <row r="227" spans="2:16">
      <c r="B227" s="258"/>
      <c r="C227" s="259"/>
      <c r="E227" s="323"/>
      <c r="F227" s="323"/>
      <c r="G227" s="323"/>
      <c r="H227" s="323"/>
      <c r="I227" s="323"/>
      <c r="J227" s="323"/>
      <c r="K227" s="323"/>
      <c r="M227" s="257"/>
    </row>
    <row r="228" spans="2:16">
      <c r="B228" s="258"/>
      <c r="C228" s="259"/>
      <c r="E228" s="254"/>
      <c r="F228" s="323" t="str">
        <f>F138</f>
        <v xml:space="preserve">Indiana Michigan Power Company </v>
      </c>
      <c r="G228" s="254"/>
      <c r="H228" s="254"/>
      <c r="I228" s="254"/>
      <c r="J228" s="254"/>
      <c r="K228" s="254"/>
      <c r="L228" s="254"/>
      <c r="M228" s="254"/>
    </row>
    <row r="229" spans="2:16">
      <c r="B229" s="258"/>
      <c r="C229" s="259"/>
      <c r="E229" s="254"/>
      <c r="F229" s="323"/>
      <c r="G229" s="254"/>
      <c r="H229" s="254"/>
      <c r="I229" s="254"/>
      <c r="J229" s="254"/>
      <c r="K229" s="254"/>
      <c r="L229" s="254"/>
      <c r="M229" s="254"/>
    </row>
    <row r="230" spans="2:16" ht="15.75">
      <c r="B230" s="258"/>
      <c r="C230" s="259"/>
      <c r="F230" s="324" t="s">
        <v>41</v>
      </c>
      <c r="H230" s="254"/>
      <c r="I230" s="254"/>
      <c r="J230" s="254"/>
      <c r="K230" s="254"/>
      <c r="L230" s="254"/>
      <c r="M230" s="257"/>
    </row>
    <row r="231" spans="2:16" ht="15.75">
      <c r="B231" s="258"/>
      <c r="C231" s="259"/>
      <c r="D231" s="354"/>
      <c r="E231" s="254"/>
      <c r="F231" s="254"/>
      <c r="G231" s="254"/>
      <c r="H231" s="254"/>
      <c r="I231" s="254"/>
      <c r="J231" s="254"/>
      <c r="K231" s="254"/>
      <c r="L231" s="254"/>
      <c r="M231" s="257"/>
    </row>
    <row r="232" spans="2:16" ht="15.75">
      <c r="B232" s="258" t="s">
        <v>117</v>
      </c>
      <c r="C232" s="259"/>
      <c r="D232" s="354"/>
      <c r="E232" s="254"/>
      <c r="F232" s="254"/>
      <c r="G232" s="254"/>
      <c r="H232" s="254"/>
      <c r="I232" s="254"/>
      <c r="J232" s="254"/>
      <c r="K232" s="254"/>
      <c r="L232" s="254"/>
      <c r="M232" s="257"/>
    </row>
    <row r="233" spans="2:16" ht="15.75" thickBot="1">
      <c r="B233" s="264" t="s">
        <v>118</v>
      </c>
      <c r="C233" s="259"/>
      <c r="D233" s="254" t="s">
        <v>222</v>
      </c>
      <c r="E233" s="254"/>
      <c r="F233" s="254"/>
      <c r="G233" s="254"/>
      <c r="H233" s="254"/>
      <c r="I233" s="254"/>
      <c r="J233" s="254"/>
      <c r="M233" s="257"/>
      <c r="P233"/>
    </row>
    <row r="234" spans="2:16">
      <c r="B234" s="258">
        <f>+B221+1</f>
        <v>131</v>
      </c>
      <c r="C234" s="259"/>
      <c r="D234" s="254" t="s">
        <v>167</v>
      </c>
      <c r="E234" s="355" t="str">
        <f>"(ln "&amp;B68&amp;")"</f>
        <v>(ln 21)</v>
      </c>
      <c r="F234" s="254"/>
      <c r="H234" s="257"/>
      <c r="I234" s="257"/>
      <c r="J234" s="257"/>
      <c r="K234" s="257"/>
      <c r="L234" s="270">
        <f>+G68</f>
        <v>1994115329.7376924</v>
      </c>
      <c r="M234" s="257"/>
      <c r="P234"/>
    </row>
    <row r="235" spans="2:16">
      <c r="B235" s="258">
        <f>+B234+1</f>
        <v>132</v>
      </c>
      <c r="C235" s="259"/>
      <c r="D235" s="254" t="str">
        <f>"  Less transmission plant excluded from PJM Tariff  (Worksheet A, ln "&amp;'WS A - RB Support'!A62&amp;", Col. "&amp;'WS A - RB Support'!E47&amp;") (Note P)"</f>
        <v xml:space="preserve">  Less transmission plant excluded from PJM Tariff  (Worksheet A, ln 42, Col. (d)) (Note P)</v>
      </c>
      <c r="G235" s="323"/>
      <c r="L235" s="616">
        <f>'WS A - RB Support'!E62</f>
        <v>55273.482307692298</v>
      </c>
      <c r="M235" s="257"/>
      <c r="P235"/>
    </row>
    <row r="236" spans="2:16" ht="15.75" thickBot="1">
      <c r="B236" s="258">
        <f>+B235+1</f>
        <v>133</v>
      </c>
      <c r="C236" s="259"/>
      <c r="D236" s="254" t="str">
        <f>"  Less transmission plant included in OATT Ancillary Services (Worksheet A, ln "&amp;'WS A - RB Support'!A62&amp;", Col. "&amp;'WS A - RB Support'!C47&amp;")  (Note Q)"</f>
        <v xml:space="preserve">  Less transmission plant included in OATT Ancillary Services (Worksheet A, ln 42, Col. (b))  (Note Q)</v>
      </c>
      <c r="E236" s="254"/>
      <c r="F236" s="254"/>
      <c r="G236" s="271"/>
      <c r="H236" s="257"/>
      <c r="I236" s="257"/>
      <c r="J236" s="271"/>
      <c r="K236" s="257"/>
      <c r="L236" s="356">
        <f>'WS A - RB Support'!C62</f>
        <v>59586360.98153846</v>
      </c>
      <c r="M236" s="257"/>
      <c r="P236"/>
    </row>
    <row r="237" spans="2:16">
      <c r="B237" s="258">
        <f>+B236+1</f>
        <v>134</v>
      </c>
      <c r="C237" s="259"/>
      <c r="D237" s="254" t="s">
        <v>223</v>
      </c>
      <c r="E237" s="268" t="str">
        <f>"(ln "&amp;B234&amp;" - ln "&amp;B235&amp;" - ln "&amp;B236&amp;")"</f>
        <v>(ln 131 - ln 132 - ln 133)</v>
      </c>
      <c r="F237" s="254"/>
      <c r="H237" s="257"/>
      <c r="I237" s="257"/>
      <c r="J237" s="271"/>
      <c r="K237" s="257"/>
      <c r="L237" s="270">
        <f>L234-L235-L236</f>
        <v>1934473695.2738461</v>
      </c>
      <c r="M237" s="257"/>
      <c r="P237"/>
    </row>
    <row r="238" spans="2:16">
      <c r="B238" s="258"/>
      <c r="C238" s="259"/>
      <c r="E238" s="254"/>
      <c r="F238" s="254"/>
      <c r="G238" s="271"/>
      <c r="H238" s="257"/>
      <c r="I238" s="257"/>
      <c r="J238" s="271"/>
      <c r="K238" s="257"/>
      <c r="M238" s="257"/>
      <c r="P238"/>
    </row>
    <row r="239" spans="2:16" ht="15.75">
      <c r="B239" s="258">
        <f>+B237+1</f>
        <v>135</v>
      </c>
      <c r="C239" s="259"/>
      <c r="D239" s="254" t="s">
        <v>224</v>
      </c>
      <c r="E239" s="259" t="str">
        <f>"(ln "&amp;B237&amp;" / ln "&amp;B234&amp;")"</f>
        <v>(ln 134 / ln 131)</v>
      </c>
      <c r="F239" s="262"/>
      <c r="H239" s="262"/>
      <c r="I239" s="260"/>
      <c r="J239" s="260"/>
      <c r="K239" s="298" t="s">
        <v>144</v>
      </c>
      <c r="L239" s="357">
        <f>IF(L234&gt;0,L237/L234,0)</f>
        <v>0.97009118099919955</v>
      </c>
      <c r="M239" s="257"/>
      <c r="P239"/>
    </row>
    <row r="240" spans="2:16" ht="15.75">
      <c r="B240" s="258"/>
      <c r="C240" s="259"/>
      <c r="D240" s="354"/>
      <c r="E240" s="254"/>
      <c r="F240" s="254"/>
      <c r="G240" s="257"/>
      <c r="H240" s="254"/>
      <c r="I240" s="259"/>
      <c r="J240" s="254"/>
      <c r="K240" s="254"/>
      <c r="L240" s="254"/>
      <c r="M240" s="257"/>
    </row>
    <row r="241" spans="2:13">
      <c r="B241" s="258" t="s">
        <v>1367</v>
      </c>
      <c r="C241" s="259"/>
      <c r="D241" s="254" t="s">
        <v>1368</v>
      </c>
      <c r="E241" s="254"/>
      <c r="F241" s="254"/>
      <c r="G241" s="257"/>
      <c r="H241" s="254"/>
      <c r="I241" s="259"/>
      <c r="J241" s="254"/>
      <c r="K241" s="254"/>
      <c r="L241" s="254"/>
      <c r="M241" s="257"/>
    </row>
    <row r="242" spans="2:13" ht="15.75">
      <c r="B242" s="258" t="s">
        <v>1369</v>
      </c>
      <c r="C242" s="259"/>
      <c r="D242" s="354" t="s">
        <v>1370</v>
      </c>
      <c r="E242" s="254" t="s">
        <v>1371</v>
      </c>
      <c r="F242" s="254"/>
      <c r="G242" s="257"/>
      <c r="H242" s="254"/>
      <c r="I242" s="259"/>
      <c r="J242" s="254"/>
      <c r="K242" s="254"/>
      <c r="L242" s="270">
        <f>G75</f>
        <v>98690.584615384636</v>
      </c>
      <c r="M242" s="257"/>
    </row>
    <row r="243" spans="2:13" ht="15.75">
      <c r="B243" s="258" t="s">
        <v>1372</v>
      </c>
      <c r="C243" s="259"/>
      <c r="D243" s="354" t="s">
        <v>1373</v>
      </c>
      <c r="E243" s="257" t="s">
        <v>1374</v>
      </c>
      <c r="F243" s="254"/>
      <c r="G243" s="257"/>
      <c r="H243" s="254"/>
      <c r="I243" s="259"/>
      <c r="J243" s="254"/>
      <c r="K243" s="254"/>
      <c r="L243" s="254">
        <f>'WS A - RB Support'!G62</f>
        <v>98690.584615384636</v>
      </c>
      <c r="M243" s="257"/>
    </row>
    <row r="244" spans="2:13" ht="15.75">
      <c r="B244" s="258" t="s">
        <v>1375</v>
      </c>
      <c r="C244" s="259"/>
      <c r="D244" s="354" t="s">
        <v>1376</v>
      </c>
      <c r="E244" s="254" t="s">
        <v>1377</v>
      </c>
      <c r="F244" s="254"/>
      <c r="G244" s="257"/>
      <c r="H244" s="254"/>
      <c r="I244" s="259"/>
      <c r="J244" s="254"/>
      <c r="K244" s="254"/>
      <c r="L244" s="270">
        <f>L242-L243</f>
        <v>0</v>
      </c>
      <c r="M244" s="257"/>
    </row>
    <row r="245" spans="2:13" ht="15.75">
      <c r="B245" s="258"/>
      <c r="C245" s="259"/>
      <c r="D245" s="354"/>
      <c r="E245" s="254"/>
      <c r="F245" s="254"/>
      <c r="G245" s="257"/>
      <c r="H245" s="254"/>
      <c r="I245" s="259"/>
      <c r="J245" s="254"/>
      <c r="K245" s="254"/>
      <c r="L245" s="254"/>
      <c r="M245" s="257"/>
    </row>
    <row r="246" spans="2:13" ht="15.75">
      <c r="B246" s="258" t="s">
        <v>1378</v>
      </c>
      <c r="C246" s="259"/>
      <c r="D246" s="254" t="s">
        <v>1379</v>
      </c>
      <c r="E246" s="254" t="s">
        <v>1380</v>
      </c>
      <c r="F246" s="254"/>
      <c r="G246" s="257"/>
      <c r="H246" s="254"/>
      <c r="I246" s="259"/>
      <c r="J246" s="254"/>
      <c r="K246" s="254" t="s">
        <v>1407</v>
      </c>
      <c r="L246" s="354">
        <f>IFERROR(L244/L242,1)</f>
        <v>0</v>
      </c>
      <c r="M246" s="257"/>
    </row>
    <row r="247" spans="2:13" ht="15.75">
      <c r="B247" s="258"/>
      <c r="C247" s="259"/>
      <c r="D247" s="354"/>
      <c r="E247" s="254"/>
      <c r="F247" s="254"/>
      <c r="G247" s="257"/>
      <c r="H247" s="254"/>
      <c r="I247" s="259"/>
      <c r="J247" s="254"/>
      <c r="K247" s="254"/>
      <c r="L247" s="254"/>
      <c r="M247" s="257"/>
    </row>
    <row r="248" spans="2:13" ht="45">
      <c r="B248" s="258">
        <f>B239+1</f>
        <v>136</v>
      </c>
      <c r="C248" s="259"/>
      <c r="D248" s="254" t="s">
        <v>42</v>
      </c>
      <c r="E248" s="271" t="s">
        <v>344</v>
      </c>
      <c r="F248" s="271" t="s">
        <v>185</v>
      </c>
      <c r="G248" s="358" t="s">
        <v>215</v>
      </c>
      <c r="H248" s="323" t="s">
        <v>119</v>
      </c>
      <c r="I248" s="271"/>
      <c r="J248" s="257"/>
      <c r="K248" s="257"/>
      <c r="L248" s="257"/>
      <c r="M248" s="257"/>
    </row>
    <row r="249" spans="2:13">
      <c r="B249" s="258">
        <f t="shared" ref="B249:B255" si="12">+B248+1</f>
        <v>137</v>
      </c>
      <c r="C249" s="259"/>
      <c r="D249" s="254" t="s">
        <v>127</v>
      </c>
      <c r="E249" s="257" t="s">
        <v>432</v>
      </c>
      <c r="F249" s="618">
        <v>153709711</v>
      </c>
      <c r="G249" s="618">
        <v>10075551</v>
      </c>
      <c r="H249" s="299">
        <f>+F249+G249</f>
        <v>163785262</v>
      </c>
      <c r="I249" s="271" t="s">
        <v>128</v>
      </c>
      <c r="J249" s="272">
        <v>0</v>
      </c>
      <c r="K249" s="359"/>
      <c r="L249" s="270">
        <f>(F249+G249)*J249</f>
        <v>0</v>
      </c>
      <c r="M249" s="257"/>
    </row>
    <row r="250" spans="2:13">
      <c r="B250" s="258">
        <f t="shared" si="12"/>
        <v>138</v>
      </c>
      <c r="C250" s="259"/>
      <c r="D250" s="254" t="s">
        <v>129</v>
      </c>
      <c r="E250" s="257" t="s">
        <v>12</v>
      </c>
      <c r="F250" s="618">
        <v>5293679</v>
      </c>
      <c r="G250" s="618">
        <v>5486902</v>
      </c>
      <c r="H250" s="299">
        <f>+F250+G250</f>
        <v>10780581</v>
      </c>
      <c r="I250" s="259" t="s">
        <v>121</v>
      </c>
      <c r="J250" s="272">
        <f>L239</f>
        <v>0.97009118099919955</v>
      </c>
      <c r="K250" s="359"/>
      <c r="L250" s="270">
        <f>(F250+G250)*J250</f>
        <v>10458146.554147532</v>
      </c>
      <c r="M250" s="257"/>
    </row>
    <row r="251" spans="2:13">
      <c r="B251" s="258">
        <f t="shared" si="12"/>
        <v>139</v>
      </c>
      <c r="C251" s="259"/>
      <c r="D251" s="254" t="s">
        <v>227</v>
      </c>
      <c r="E251" s="257" t="s">
        <v>467</v>
      </c>
      <c r="F251" s="618">
        <v>0</v>
      </c>
      <c r="G251" s="618">
        <v>0</v>
      </c>
      <c r="H251" s="299">
        <f>+F251+G251</f>
        <v>0</v>
      </c>
      <c r="I251" s="271" t="s">
        <v>128</v>
      </c>
      <c r="J251" s="272">
        <v>0</v>
      </c>
      <c r="K251" s="359"/>
      <c r="L251" s="270">
        <f>(F251+G251)*J251</f>
        <v>0</v>
      </c>
      <c r="M251" s="257"/>
    </row>
    <row r="252" spans="2:13">
      <c r="B252" s="258" t="s">
        <v>1408</v>
      </c>
      <c r="C252" s="259"/>
      <c r="D252" s="254" t="s">
        <v>1382</v>
      </c>
      <c r="E252" s="257" t="s">
        <v>1409</v>
      </c>
      <c r="F252" s="1175">
        <v>0</v>
      </c>
      <c r="G252" s="1175">
        <v>0</v>
      </c>
      <c r="H252" s="299">
        <f t="shared" ref="H252" si="13">+F252+G252</f>
        <v>0</v>
      </c>
      <c r="I252" s="271" t="s">
        <v>1406</v>
      </c>
      <c r="J252" s="272">
        <f>L246</f>
        <v>0</v>
      </c>
      <c r="K252" s="359"/>
      <c r="L252" s="270">
        <f t="shared" ref="L252" si="14">(F252+G252)*J252</f>
        <v>0</v>
      </c>
      <c r="M252" s="257"/>
    </row>
    <row r="253" spans="2:13">
      <c r="B253" s="258">
        <f>+B251+1</f>
        <v>140</v>
      </c>
      <c r="C253" s="259"/>
      <c r="D253" s="254" t="s">
        <v>131</v>
      </c>
      <c r="E253" s="257" t="s">
        <v>430</v>
      </c>
      <c r="F253" s="618">
        <v>24702424</v>
      </c>
      <c r="G253" s="618">
        <v>2272397</v>
      </c>
      <c r="H253" s="299">
        <f>+F253+G253</f>
        <v>26974821</v>
      </c>
      <c r="I253" s="271" t="s">
        <v>128</v>
      </c>
      <c r="J253" s="272">
        <v>0</v>
      </c>
      <c r="K253" s="359"/>
      <c r="L253" s="270">
        <f>(F253+G253)*J253</f>
        <v>0</v>
      </c>
      <c r="M253" s="257"/>
    </row>
    <row r="254" spans="2:13" ht="15.75" thickBot="1">
      <c r="B254" s="258">
        <f t="shared" si="12"/>
        <v>141</v>
      </c>
      <c r="C254" s="259"/>
      <c r="D254" s="254" t="s">
        <v>202</v>
      </c>
      <c r="E254" s="257" t="s">
        <v>431</v>
      </c>
      <c r="F254" s="619">
        <v>3906302</v>
      </c>
      <c r="G254" s="619">
        <v>5308711</v>
      </c>
      <c r="H254" s="360">
        <f>+F254+G254</f>
        <v>9215013</v>
      </c>
      <c r="I254" s="271" t="s">
        <v>128</v>
      </c>
      <c r="J254" s="272">
        <v>0</v>
      </c>
      <c r="K254" s="359"/>
      <c r="L254" s="305">
        <f>(F254+G254)*J254</f>
        <v>0</v>
      </c>
      <c r="M254" s="257"/>
    </row>
    <row r="255" spans="2:13" ht="15.75">
      <c r="B255" s="258">
        <f t="shared" si="12"/>
        <v>142</v>
      </c>
      <c r="C255" s="259"/>
      <c r="D255" s="254" t="s">
        <v>119</v>
      </c>
      <c r="E255" s="254" t="str">
        <f>"(sum lns "&amp;B249&amp;" to "&amp;B254&amp;")"</f>
        <v>(sum lns 137 to 141)</v>
      </c>
      <c r="F255" s="257">
        <f>SUM(F249:F254)</f>
        <v>187612116</v>
      </c>
      <c r="G255" s="257">
        <f>SUM(G249:G254)</f>
        <v>23143561</v>
      </c>
      <c r="H255" s="257">
        <f>SUM(H249:H254)</f>
        <v>210755677</v>
      </c>
      <c r="I255" s="271"/>
      <c r="J255" s="257"/>
      <c r="K255" s="257"/>
      <c r="L255" s="270">
        <f>SUM(L249:L254)</f>
        <v>10458146.554147532</v>
      </c>
      <c r="M255" s="293"/>
    </row>
    <row r="256" spans="2:13">
      <c r="B256" s="258"/>
      <c r="C256" s="259"/>
      <c r="D256" s="254" t="s">
        <v>115</v>
      </c>
      <c r="E256" s="257" t="s">
        <v>115</v>
      </c>
      <c r="F256" s="257"/>
      <c r="H256" s="257"/>
      <c r="I256" s="323"/>
    </row>
    <row r="257" spans="2:21" ht="15.75">
      <c r="B257" s="258">
        <f>B255+1</f>
        <v>143</v>
      </c>
      <c r="C257" s="259"/>
      <c r="D257" s="254" t="s">
        <v>43</v>
      </c>
      <c r="E257" s="257"/>
      <c r="F257" s="257"/>
      <c r="G257" s="257"/>
      <c r="H257" s="257"/>
      <c r="I257" s="323"/>
      <c r="K257" s="361" t="s">
        <v>44</v>
      </c>
      <c r="L257" s="362">
        <f>L255/(F255+G255)</f>
        <v>4.9622134516203481E-2</v>
      </c>
    </row>
    <row r="258" spans="2:21">
      <c r="B258" s="258"/>
      <c r="C258" s="259"/>
      <c r="D258" s="254"/>
      <c r="E258" s="257"/>
      <c r="F258" s="257"/>
      <c r="G258" s="257"/>
      <c r="H258" s="257"/>
      <c r="I258" s="271"/>
      <c r="J258" s="257"/>
      <c r="K258" s="257"/>
      <c r="L258" s="257"/>
      <c r="M258" s="257"/>
    </row>
    <row r="259" spans="2:21" ht="15.75">
      <c r="B259" s="258"/>
      <c r="C259" s="259"/>
      <c r="D259" s="254"/>
      <c r="E259" s="266"/>
      <c r="F259" s="257"/>
      <c r="H259" s="257"/>
      <c r="I259" s="257"/>
      <c r="J259" s="257"/>
      <c r="K259" s="298"/>
      <c r="L259" s="363"/>
      <c r="M259" s="257"/>
    </row>
    <row r="260" spans="2:21" ht="15.75" thickBot="1">
      <c r="B260" s="258">
        <f>+B257+1</f>
        <v>144</v>
      </c>
      <c r="C260" s="259"/>
      <c r="D260" s="254" t="s">
        <v>199</v>
      </c>
      <c r="E260" s="257"/>
      <c r="F260" s="257"/>
      <c r="G260" s="257"/>
      <c r="H260" s="257"/>
      <c r="I260" s="257"/>
      <c r="J260" s="257"/>
      <c r="K260" s="257"/>
      <c r="L260" s="364" t="s">
        <v>145</v>
      </c>
      <c r="M260" s="257"/>
    </row>
    <row r="261" spans="2:21">
      <c r="B261" s="258">
        <f t="shared" ref="B261:B268" si="15">+B260+1</f>
        <v>145</v>
      </c>
      <c r="C261" s="259"/>
      <c r="D261" s="257" t="s">
        <v>220</v>
      </c>
      <c r="E261" s="250" t="str">
        <f>"(Worksheet M, ln. "&amp;'WS M - Cost of Capital'!A56&amp;", col. "&amp;'WS M - Cost of Capital'!E47&amp;")"</f>
        <v>(Worksheet M, ln. 37, col. (d))</v>
      </c>
      <c r="F261" s="257"/>
      <c r="G261" s="257"/>
      <c r="H261" s="257"/>
      <c r="I261" s="257"/>
      <c r="J261" s="257"/>
      <c r="K261" s="257"/>
      <c r="L261" s="270">
        <f>'WS M - Cost of Capital'!E56</f>
        <v>138455884.12</v>
      </c>
      <c r="M261" s="257"/>
    </row>
    <row r="262" spans="2:21">
      <c r="B262" s="258">
        <f t="shared" si="15"/>
        <v>146</v>
      </c>
      <c r="C262" s="259"/>
      <c r="D262" s="257" t="s">
        <v>221</v>
      </c>
      <c r="E262" s="250" t="str">
        <f>"(Worksheet M, ln. "&amp;'WS M - Cost of Capital'!A103&amp;")"</f>
        <v>(Worksheet M, ln. 71)</v>
      </c>
      <c r="F262" s="257"/>
      <c r="G262" s="257"/>
      <c r="H262" s="257"/>
      <c r="I262" s="257"/>
      <c r="J262" s="257"/>
      <c r="K262" s="257"/>
      <c r="L262" s="270">
        <f>'WS M - Cost of Capital'!E103</f>
        <v>0</v>
      </c>
      <c r="M262" s="257"/>
    </row>
    <row r="263" spans="2:21">
      <c r="B263" s="258">
        <f t="shared" si="15"/>
        <v>147</v>
      </c>
      <c r="C263" s="259"/>
      <c r="D263" s="365" t="s">
        <v>243</v>
      </c>
      <c r="E263" s="257"/>
      <c r="F263" s="257"/>
      <c r="G263" s="257"/>
      <c r="H263"/>
      <c r="I263" s="257"/>
      <c r="J263" s="257"/>
      <c r="K263" s="257"/>
      <c r="L263" s="270"/>
      <c r="M263" s="257"/>
    </row>
    <row r="264" spans="2:21">
      <c r="B264" s="258">
        <f t="shared" si="15"/>
        <v>148</v>
      </c>
      <c r="C264" s="259"/>
      <c r="D264" s="257" t="s">
        <v>244</v>
      </c>
      <c r="E264" s="379" t="str">
        <f>"(Worksheet M, ln. "&amp;'WS M - Cost of Capital'!A23&amp;", col. "&amp;'WS M - Cost of Capital'!C8&amp;")"</f>
        <v>(Worksheet M, ln. 14, col. (b))</v>
      </c>
      <c r="F264" s="257"/>
      <c r="G264" s="254"/>
      <c r="H264" s="72"/>
      <c r="I264" s="257"/>
      <c r="J264" s="257"/>
      <c r="K264" s="257"/>
      <c r="L264" s="270">
        <f>'WS M - Cost of Capital'!C23</f>
        <v>3555283782.5343838</v>
      </c>
      <c r="M264" s="257"/>
    </row>
    <row r="265" spans="2:21">
      <c r="B265" s="258">
        <f t="shared" si="15"/>
        <v>149</v>
      </c>
      <c r="C265" s="259"/>
      <c r="D265" s="257" t="s">
        <v>369</v>
      </c>
      <c r="E265" s="379" t="str">
        <f>"(Worksheet M, ln. "&amp;'WS M - Cost of Capital'!A23&amp;", col. "&amp;'WS M - Cost of Capital'!D8&amp;")"</f>
        <v>(Worksheet M, ln. 14, col. (c))</v>
      </c>
      <c r="F265" s="257"/>
      <c r="G265" s="257"/>
      <c r="H265" s="72"/>
      <c r="I265" s="257"/>
      <c r="J265" s="257"/>
      <c r="K265" s="257"/>
      <c r="L265" s="299">
        <f>'WS M - Cost of Capital'!D23</f>
        <v>0</v>
      </c>
      <c r="M265" s="257"/>
    </row>
    <row r="266" spans="2:21">
      <c r="B266" s="258">
        <f>+B265+1</f>
        <v>150</v>
      </c>
      <c r="C266" s="259"/>
      <c r="D266" s="257" t="s">
        <v>362</v>
      </c>
      <c r="E266" s="379" t="str">
        <f>"(Worksheet M, ln. "&amp;'WS M - Cost of Capital'!A23&amp;", col. "&amp;'WS M - Cost of Capital'!E8&amp;")"</f>
        <v>(Worksheet M, ln. 14, col. (d))</v>
      </c>
      <c r="F266" s="257"/>
      <c r="G266" s="257"/>
      <c r="H266" s="72"/>
      <c r="I266" s="257"/>
      <c r="J266" s="257"/>
      <c r="K266" s="257"/>
      <c r="L266" s="299">
        <f>'WS M - Cost of Capital'!E23</f>
        <v>-2086934.5</v>
      </c>
      <c r="M266" s="257"/>
    </row>
    <row r="267" spans="2:21" ht="15.75" thickBot="1">
      <c r="B267" s="258">
        <f t="shared" si="15"/>
        <v>151</v>
      </c>
      <c r="C267" s="259"/>
      <c r="D267" s="257" t="s">
        <v>368</v>
      </c>
      <c r="E267" s="379" t="str">
        <f>"(Worksheet M, ln. "&amp;'WS M - Cost of Capital'!A23&amp;", col. "&amp;'WS M - Cost of Capital'!F8&amp;")"</f>
        <v>(Worksheet M, ln. 14, col. (e))</v>
      </c>
      <c r="F267" s="257"/>
      <c r="G267" s="257"/>
      <c r="H267" s="72"/>
      <c r="I267" s="257"/>
      <c r="J267" s="318"/>
      <c r="K267" s="257"/>
      <c r="L267" s="360">
        <f>'WS M - Cost of Capital'!F23</f>
        <v>710770.97615384636</v>
      </c>
      <c r="M267" s="257"/>
    </row>
    <row r="268" spans="2:21">
      <c r="B268" s="258">
        <f t="shared" si="15"/>
        <v>152</v>
      </c>
      <c r="C268" s="259"/>
      <c r="D268" s="250" t="s">
        <v>245</v>
      </c>
      <c r="E268" s="257" t="str">
        <f>"(ln "&amp;B264&amp;" - ln "&amp;B265&amp;" - ln "&amp;B266&amp;" - ln "&amp;B267&amp;")"</f>
        <v>(ln 148 - ln 149 - ln 150 - ln 151)</v>
      </c>
      <c r="F268" s="266"/>
      <c r="H268" s="254"/>
      <c r="I268" s="254"/>
      <c r="J268" s="254"/>
      <c r="K268" s="254"/>
      <c r="L268" s="270">
        <f>+L264-L265-L266-L267</f>
        <v>3556659946.0582299</v>
      </c>
      <c r="M268" s="257"/>
    </row>
    <row r="269" spans="2:21" ht="15.75">
      <c r="B269" s="258"/>
      <c r="C269" s="259"/>
      <c r="D269" s="254"/>
      <c r="E269" s="257"/>
      <c r="F269" s="257"/>
      <c r="G269" s="1217" t="s">
        <v>949</v>
      </c>
      <c r="H269" s="1217"/>
      <c r="I269" s="1217"/>
      <c r="J269" s="366" t="s">
        <v>146</v>
      </c>
      <c r="K269" s="257"/>
      <c r="L269" s="257"/>
      <c r="M269" s="257"/>
    </row>
    <row r="270" spans="2:21" ht="15.75" thickBot="1">
      <c r="B270" s="258">
        <f>+B268+1</f>
        <v>153</v>
      </c>
      <c r="C270" s="259"/>
      <c r="D270" s="254"/>
      <c r="F270" s="257"/>
      <c r="G270" s="265" t="s">
        <v>145</v>
      </c>
      <c r="H270" s="265" t="s">
        <v>147</v>
      </c>
      <c r="I270" s="364" t="s">
        <v>948</v>
      </c>
      <c r="J270" s="367" t="s">
        <v>428</v>
      </c>
      <c r="K270" s="257"/>
      <c r="L270" s="265" t="s">
        <v>148</v>
      </c>
      <c r="M270" s="257"/>
      <c r="N270" s="254"/>
      <c r="O270" s="254"/>
      <c r="P270" s="254"/>
      <c r="Q270" s="254"/>
      <c r="R270" s="254"/>
      <c r="S270" s="254"/>
      <c r="T270" s="254"/>
      <c r="U270" s="254"/>
    </row>
    <row r="271" spans="2:21">
      <c r="B271" s="258">
        <f>+B270+1</f>
        <v>154</v>
      </c>
      <c r="C271" s="259"/>
      <c r="D271" s="379" t="str">
        <f>"  Long Term Debt  (Note T) Worksheet M, ln "&amp;'WS M - Cost of Capital'!A42&amp;", col. (g), ln "&amp;'WS M - Cost of Capital'!A58&amp;", col. "&amp;'WS M - Cost of Capital'!E47&amp;")"</f>
        <v xml:space="preserve">  Long Term Debt  (Note T) Worksheet M, ln 28, col. (g), ln 38, col. (d))</v>
      </c>
      <c r="E271" s="379"/>
      <c r="F271" s="257"/>
      <c r="G271" s="270">
        <f>'WS M - Cost of Capital'!H42</f>
        <v>3037324275.6923075</v>
      </c>
      <c r="H271" s="971">
        <f>IF($G$274&gt;0,G271/$G$274,0)</f>
        <v>0.46062049491619406</v>
      </c>
      <c r="I271" s="280">
        <f>IF(H273&gt;E276,1-I272-I273,H271)</f>
        <v>0.46062049491619406</v>
      </c>
      <c r="J271" s="318">
        <f>'WS M - Cost of Capital'!E58</f>
        <v>4.5584821228362681E-2</v>
      </c>
      <c r="L271" s="369">
        <f>I271*J271</f>
        <v>2.0997302914874647E-2</v>
      </c>
      <c r="M271" s="370"/>
      <c r="N271" s="254"/>
      <c r="O271" s="254"/>
      <c r="P271" s="254"/>
      <c r="Q271" s="254"/>
      <c r="R271" s="254"/>
      <c r="S271" s="254"/>
      <c r="T271" s="254"/>
      <c r="U271" s="254"/>
    </row>
    <row r="272" spans="2:21">
      <c r="B272" s="258">
        <f>+B271+1</f>
        <v>155</v>
      </c>
      <c r="C272" s="259"/>
      <c r="D272" s="254" t="str">
        <f>"  Preferred Stock (ln "&amp;B265&amp;")"</f>
        <v xml:space="preserve">  Preferred Stock (ln 149)</v>
      </c>
      <c r="G272" s="270">
        <f>+L265</f>
        <v>0</v>
      </c>
      <c r="H272" s="280">
        <f>IF($G$274&gt;0,G272/$G$274,0)</f>
        <v>0</v>
      </c>
      <c r="I272" s="280">
        <f>H272</f>
        <v>0</v>
      </c>
      <c r="J272" s="368">
        <f>IF(G272&gt;0,L262/G272,0)</f>
        <v>0</v>
      </c>
      <c r="L272" s="371">
        <f>I272*J272</f>
        <v>0</v>
      </c>
      <c r="M272" s="257"/>
    </row>
    <row r="273" spans="2:21" ht="15.75" thickBot="1">
      <c r="B273" s="258">
        <f>+B272+1</f>
        <v>156</v>
      </c>
      <c r="C273" s="259"/>
      <c r="D273" s="254" t="str">
        <f>"  Common Stock (ln "&amp;B268&amp;")"</f>
        <v xml:space="preserve">  Common Stock (ln 152)</v>
      </c>
      <c r="G273" s="305">
        <f>+L268</f>
        <v>3556659946.0582299</v>
      </c>
      <c r="H273" s="280">
        <f>IF($G$274&gt;0,G273/$G$274,0)</f>
        <v>0.53937950508380583</v>
      </c>
      <c r="I273" s="280">
        <f>IF(H273&gt;E276,E276,H273)</f>
        <v>0.53937950508380583</v>
      </c>
      <c r="J273" s="620">
        <v>0.10349999999999999</v>
      </c>
      <c r="L273" s="372">
        <f>I273*J273</f>
        <v>5.5825778776173902E-2</v>
      </c>
      <c r="M273" s="257"/>
    </row>
    <row r="274" spans="2:21" ht="15.75">
      <c r="B274" s="258">
        <f>+B273+1</f>
        <v>157</v>
      </c>
      <c r="C274" s="259"/>
      <c r="D274" s="254" t="str">
        <f>" Total (Sum lns "&amp;B271&amp;" to "&amp;B273&amp;")"</f>
        <v xml:space="preserve"> Total (Sum lns 154 to 156)</v>
      </c>
      <c r="G274" s="270">
        <f>G273+G272+G271</f>
        <v>6593984221.7505379</v>
      </c>
      <c r="I274" s="337"/>
      <c r="J274" s="373"/>
      <c r="K274" s="315" t="s">
        <v>25</v>
      </c>
      <c r="L274" s="374">
        <f>SUM(L271:L273)</f>
        <v>7.6823081691048553E-2</v>
      </c>
      <c r="M274" s="375"/>
    </row>
    <row r="275" spans="2:21" ht="15.75">
      <c r="B275" s="258"/>
      <c r="C275" s="259"/>
      <c r="D275" s="254"/>
      <c r="G275" s="270"/>
      <c r="I275" s="337"/>
      <c r="J275" s="373"/>
      <c r="K275" s="315"/>
      <c r="L275" s="374"/>
      <c r="M275" s="375"/>
    </row>
    <row r="276" spans="2:21">
      <c r="B276" s="258">
        <f>B274+1</f>
        <v>158</v>
      </c>
      <c r="C276" s="2"/>
      <c r="D276" s="2" t="s">
        <v>950</v>
      </c>
      <c r="E276" s="975">
        <v>0.55000000000000004</v>
      </c>
      <c r="F276"/>
      <c r="G276"/>
      <c r="H276"/>
      <c r="I276"/>
      <c r="J276" s="257"/>
      <c r="K276" s="254"/>
      <c r="L276" s="257"/>
      <c r="M276" s="254"/>
      <c r="N276" s="254"/>
      <c r="O276" s="254"/>
      <c r="P276" s="254"/>
      <c r="Q276" s="254"/>
      <c r="R276" s="254"/>
      <c r="S276" s="254"/>
      <c r="T276" s="254"/>
      <c r="U276" s="254"/>
    </row>
    <row r="277" spans="2:21">
      <c r="B277" s="258"/>
      <c r="C277" s="72"/>
      <c r="D277" s="72"/>
      <c r="E277"/>
      <c r="F277"/>
      <c r="G277"/>
      <c r="H277"/>
      <c r="I277"/>
      <c r="J277" s="257"/>
      <c r="K277" s="254"/>
      <c r="L277" s="257"/>
      <c r="M277" s="254"/>
      <c r="N277" s="254"/>
      <c r="O277" s="254"/>
      <c r="P277" s="254"/>
      <c r="Q277" s="254"/>
      <c r="R277" s="254"/>
      <c r="S277" s="254"/>
      <c r="T277" s="254"/>
      <c r="U277" s="254"/>
    </row>
    <row r="278" spans="2:21" ht="15.75">
      <c r="B278" s="321"/>
      <c r="C278" s="259"/>
      <c r="D278" s="251"/>
      <c r="E278" s="251"/>
      <c r="F278" s="323" t="str">
        <f>F224</f>
        <v xml:space="preserve">AEP East Companies </v>
      </c>
      <c r="G278" s="252"/>
      <c r="H278" s="257"/>
      <c r="I278" s="257"/>
      <c r="J278" s="257"/>
      <c r="K278" s="254"/>
      <c r="L278" s="257"/>
      <c r="M278" s="289"/>
      <c r="N278" s="254"/>
      <c r="O278" s="254"/>
      <c r="P278" s="254"/>
      <c r="Q278" s="254"/>
      <c r="R278" s="254"/>
      <c r="S278" s="254"/>
      <c r="T278" s="254"/>
      <c r="U278" s="254"/>
    </row>
    <row r="279" spans="2:21">
      <c r="B279" s="321"/>
      <c r="C279" s="259"/>
      <c r="E279" s="259"/>
      <c r="F279" s="323" t="str">
        <f>F225</f>
        <v>Transmission Cost of Service Formula Rate</v>
      </c>
      <c r="G279" s="257"/>
      <c r="H279" s="257"/>
      <c r="I279" s="257"/>
      <c r="J279" s="257"/>
      <c r="K279" s="254"/>
      <c r="L279" s="267"/>
      <c r="M279" s="289"/>
      <c r="N279" s="254"/>
      <c r="O279" s="254"/>
      <c r="P279" s="254"/>
      <c r="Q279" s="254"/>
      <c r="R279" s="254"/>
      <c r="S279" s="254"/>
      <c r="T279" s="254"/>
      <c r="U279" s="254"/>
    </row>
    <row r="280" spans="2:21" ht="15.75">
      <c r="B280" s="321"/>
      <c r="C280" s="259"/>
      <c r="E280" s="324"/>
      <c r="F280" s="323" t="str">
        <f>F226</f>
        <v>Utilizing  Actual/Projected FERC Form 1 Data</v>
      </c>
      <c r="G280" s="257"/>
      <c r="H280" s="257"/>
      <c r="I280" s="257"/>
      <c r="J280" s="257"/>
      <c r="K280" s="254"/>
      <c r="L280" s="267"/>
      <c r="M280" s="289"/>
      <c r="N280" s="254"/>
      <c r="O280" s="254"/>
      <c r="P280" s="254"/>
      <c r="Q280" s="254"/>
      <c r="R280" s="254"/>
      <c r="S280" s="254"/>
      <c r="T280" s="254"/>
      <c r="U280" s="254"/>
    </row>
    <row r="281" spans="2:21" ht="15.75">
      <c r="B281" s="258"/>
      <c r="C281" s="259"/>
      <c r="E281" s="324"/>
      <c r="F281" s="323"/>
      <c r="G281" s="257"/>
      <c r="H281" s="257"/>
      <c r="I281" s="257"/>
      <c r="J281" s="257"/>
      <c r="K281" s="254"/>
      <c r="L281" s="267"/>
      <c r="N281" s="254"/>
      <c r="O281" s="254"/>
      <c r="P281" s="254"/>
      <c r="Q281" s="254"/>
      <c r="R281" s="254"/>
      <c r="S281" s="254"/>
      <c r="T281" s="254"/>
      <c r="U281" s="254"/>
    </row>
    <row r="282" spans="2:21" ht="15.75">
      <c r="B282" s="258"/>
      <c r="C282" s="259"/>
      <c r="E282" s="324"/>
      <c r="F282" s="323" t="str">
        <f>F228</f>
        <v xml:space="preserve">Indiana Michigan Power Company </v>
      </c>
      <c r="G282" s="257"/>
      <c r="H282" s="257"/>
      <c r="I282" s="257"/>
      <c r="J282" s="257"/>
      <c r="K282" s="254"/>
      <c r="L282" s="267"/>
      <c r="N282" s="254"/>
      <c r="O282" s="254" t="s">
        <v>115</v>
      </c>
      <c r="P282" s="254"/>
      <c r="Q282" s="254"/>
      <c r="R282" s="254"/>
      <c r="S282" s="254"/>
      <c r="T282" s="254"/>
      <c r="U282" s="254"/>
    </row>
    <row r="283" spans="2:21" ht="15.75">
      <c r="B283" s="258"/>
      <c r="C283" s="259"/>
      <c r="E283" s="324"/>
      <c r="F283" s="323"/>
      <c r="G283" s="257"/>
      <c r="H283" s="257"/>
      <c r="I283" s="257"/>
      <c r="J283" s="257"/>
      <c r="K283" s="254"/>
      <c r="L283" s="267"/>
      <c r="N283" s="254"/>
      <c r="O283" s="254"/>
      <c r="P283" s="254"/>
      <c r="Q283" s="254"/>
      <c r="R283" s="254"/>
      <c r="S283" s="254"/>
      <c r="T283" s="254"/>
      <c r="U283" s="254"/>
    </row>
    <row r="284" spans="2:21" ht="15.75">
      <c r="B284" s="297" t="s">
        <v>177</v>
      </c>
      <c r="C284" s="259"/>
      <c r="D284" s="254"/>
      <c r="E284" s="254"/>
      <c r="F284" s="297" t="s">
        <v>176</v>
      </c>
      <c r="G284" s="257"/>
      <c r="H284" s="257"/>
      <c r="I284" s="257"/>
      <c r="J284" s="257"/>
      <c r="K284" s="254"/>
      <c r="L284" s="257"/>
      <c r="N284" s="254"/>
      <c r="O284" s="254"/>
      <c r="P284" s="254"/>
      <c r="Q284" s="254"/>
      <c r="R284" s="254"/>
      <c r="S284" s="254"/>
      <c r="T284" s="254"/>
      <c r="U284" s="254"/>
    </row>
    <row r="285" spans="2:21">
      <c r="C285" s="259"/>
      <c r="L285" s="267"/>
      <c r="N285" s="254"/>
      <c r="O285" s="254"/>
      <c r="P285" s="254"/>
      <c r="Q285" s="254"/>
      <c r="R285" s="254"/>
      <c r="S285" s="254"/>
      <c r="T285" s="254"/>
      <c r="U285" s="254"/>
    </row>
    <row r="286" spans="2:21">
      <c r="B286" s="258"/>
      <c r="C286" s="259"/>
      <c r="D286" s="254" t="s">
        <v>5</v>
      </c>
      <c r="E286" s="259"/>
      <c r="F286" s="259"/>
      <c r="G286" s="257"/>
      <c r="H286" s="257"/>
      <c r="I286" s="257"/>
      <c r="J286" s="257"/>
      <c r="K286" s="254"/>
      <c r="L286" s="257"/>
      <c r="M286" s="254"/>
      <c r="N286" s="254"/>
      <c r="O286" s="254"/>
      <c r="P286" s="254"/>
      <c r="Q286" s="254"/>
      <c r="R286" s="254"/>
      <c r="S286" s="254"/>
      <c r="T286" s="254"/>
      <c r="U286" s="254"/>
    </row>
    <row r="287" spans="2:21">
      <c r="B287" s="250"/>
      <c r="D287" s="254"/>
      <c r="E287" s="254"/>
      <c r="F287" s="254"/>
      <c r="G287" s="257"/>
      <c r="H287" s="257"/>
      <c r="I287" s="257"/>
      <c r="J287" s="257"/>
      <c r="K287" s="254"/>
      <c r="L287" s="257"/>
      <c r="M287" s="254"/>
      <c r="N287" s="254"/>
      <c r="O287" s="254"/>
      <c r="P287" s="254"/>
      <c r="Q287" s="254"/>
      <c r="R287" s="254"/>
      <c r="S287" s="254"/>
      <c r="T287" s="254"/>
      <c r="U287" s="254"/>
    </row>
    <row r="288" spans="2:21" ht="3.75" customHeight="1">
      <c r="B288" s="250"/>
      <c r="D288" s="254"/>
      <c r="E288" s="254"/>
      <c r="F288" s="254"/>
      <c r="G288" s="257"/>
      <c r="H288" s="257"/>
      <c r="I288" s="257"/>
      <c r="J288" s="257"/>
      <c r="K288" s="254"/>
      <c r="L288" s="257"/>
      <c r="M288" s="254"/>
      <c r="N288" s="254"/>
      <c r="O288" s="254"/>
      <c r="P288" s="254"/>
      <c r="Q288" s="254"/>
      <c r="R288" s="254"/>
      <c r="S288" s="254"/>
      <c r="T288" s="254"/>
      <c r="U288" s="254"/>
    </row>
    <row r="289" spans="2:21">
      <c r="B289" s="376" t="s">
        <v>149</v>
      </c>
      <c r="C289" s="259"/>
      <c r="D289" s="254" t="s">
        <v>478</v>
      </c>
      <c r="E289" s="254"/>
      <c r="F289" s="254"/>
      <c r="G289" s="257"/>
      <c r="H289" s="257"/>
      <c r="I289" s="257"/>
      <c r="J289" s="257"/>
      <c r="K289" s="254"/>
      <c r="L289" s="257"/>
      <c r="M289" s="254"/>
      <c r="N289" s="254"/>
      <c r="O289" s="254"/>
      <c r="P289" s="254"/>
      <c r="Q289" s="254"/>
      <c r="R289" s="254"/>
      <c r="S289" s="254"/>
      <c r="T289" s="254"/>
      <c r="U289" s="254"/>
    </row>
    <row r="290" spans="2:21">
      <c r="B290" s="376"/>
      <c r="C290" s="323"/>
      <c r="D290" s="254" t="s">
        <v>370</v>
      </c>
      <c r="E290" s="254"/>
      <c r="F290" s="254"/>
      <c r="G290" s="254"/>
      <c r="H290" s="254"/>
      <c r="I290" s="254"/>
      <c r="J290" s="254"/>
      <c r="K290" s="254"/>
      <c r="L290" s="254"/>
      <c r="M290" s="254"/>
      <c r="N290" s="254"/>
      <c r="O290" s="254"/>
      <c r="P290" s="254"/>
      <c r="Q290" s="254"/>
      <c r="R290" s="254"/>
      <c r="S290" s="254"/>
      <c r="T290" s="254"/>
      <c r="U290" s="254"/>
    </row>
    <row r="291" spans="2:21">
      <c r="D291" s="250" t="s">
        <v>371</v>
      </c>
      <c r="E291" s="280"/>
      <c r="F291" s="280"/>
      <c r="G291" s="254"/>
      <c r="H291" s="254"/>
      <c r="I291" s="254"/>
      <c r="J291" s="254"/>
      <c r="K291" s="254"/>
      <c r="L291" s="254"/>
      <c r="M291" s="254"/>
      <c r="N291" s="254"/>
      <c r="O291" s="254"/>
      <c r="P291" s="254"/>
      <c r="Q291" s="254"/>
      <c r="R291" s="254"/>
      <c r="S291" s="254"/>
      <c r="T291" s="254"/>
      <c r="U291" s="254"/>
    </row>
    <row r="292" spans="2:21">
      <c r="D292" s="254" t="s">
        <v>479</v>
      </c>
      <c r="E292" s="254"/>
      <c r="F292" s="254"/>
      <c r="G292" s="254"/>
      <c r="H292" s="254"/>
      <c r="I292" s="254"/>
      <c r="J292" s="254"/>
      <c r="K292" s="254"/>
      <c r="L292" s="254"/>
      <c r="M292" s="254"/>
      <c r="N292" s="254"/>
      <c r="O292" s="254"/>
      <c r="P292" s="254"/>
      <c r="Q292" s="254"/>
      <c r="R292" s="254"/>
      <c r="S292" s="254"/>
      <c r="T292" s="254"/>
      <c r="U292" s="254"/>
    </row>
    <row r="293" spans="2:21">
      <c r="B293" s="258"/>
      <c r="C293" s="259"/>
      <c r="D293" s="254" t="s">
        <v>480</v>
      </c>
      <c r="E293" s="254"/>
      <c r="F293" s="254"/>
      <c r="G293" s="254"/>
      <c r="H293" s="254"/>
      <c r="I293" s="254"/>
      <c r="J293" s="254"/>
      <c r="K293" s="254"/>
      <c r="L293" s="254"/>
      <c r="M293" s="254"/>
      <c r="N293" s="254"/>
      <c r="O293" s="254"/>
      <c r="P293" s="254"/>
      <c r="Q293" s="254"/>
      <c r="R293" s="254"/>
      <c r="S293" s="254"/>
      <c r="T293" s="254"/>
      <c r="U293" s="254"/>
    </row>
    <row r="294" spans="2:21">
      <c r="B294" s="258"/>
      <c r="C294" s="259"/>
      <c r="D294" s="254" t="s">
        <v>372</v>
      </c>
      <c r="E294" s="254"/>
      <c r="F294" s="254"/>
      <c r="G294" s="254"/>
      <c r="H294" s="254"/>
      <c r="I294" s="254"/>
      <c r="J294" s="254"/>
      <c r="K294" s="254"/>
      <c r="L294" s="254"/>
      <c r="M294" s="254"/>
      <c r="N294" s="254"/>
      <c r="O294" s="254"/>
      <c r="P294" s="254"/>
      <c r="Q294" s="254"/>
      <c r="R294" s="254"/>
      <c r="S294" s="254"/>
      <c r="T294" s="254"/>
      <c r="U294" s="254"/>
    </row>
    <row r="295" spans="2:21">
      <c r="B295" s="258"/>
      <c r="C295" s="259"/>
      <c r="D295" s="254" t="s">
        <v>373</v>
      </c>
      <c r="E295" s="254"/>
      <c r="F295" s="254"/>
      <c r="G295" s="254"/>
      <c r="H295" s="254"/>
      <c r="I295" s="254"/>
      <c r="J295" s="254"/>
      <c r="K295" s="254"/>
      <c r="L295" s="254"/>
      <c r="M295" s="254"/>
      <c r="N295" s="254"/>
      <c r="O295" s="254"/>
      <c r="P295" s="254"/>
      <c r="Q295" s="254"/>
      <c r="R295" s="254"/>
      <c r="S295" s="254"/>
      <c r="T295" s="254"/>
      <c r="U295" s="254"/>
    </row>
    <row r="296" spans="2:21" ht="45" customHeight="1">
      <c r="B296" s="258"/>
      <c r="C296" s="259"/>
      <c r="D296" s="1219" t="s">
        <v>577</v>
      </c>
      <c r="E296" s="1219"/>
      <c r="F296" s="1219"/>
      <c r="G296" s="1219"/>
      <c r="H296" s="1219"/>
      <c r="I296" s="1219"/>
      <c r="J296" s="1219"/>
      <c r="K296" s="1219"/>
      <c r="L296" s="1219"/>
      <c r="M296" s="254"/>
      <c r="N296" s="254"/>
      <c r="O296" s="254"/>
      <c r="P296" s="254"/>
      <c r="Q296" s="254"/>
      <c r="R296" s="254"/>
      <c r="S296" s="254"/>
      <c r="T296" s="254"/>
      <c r="U296" s="254"/>
    </row>
    <row r="297" spans="2:21">
      <c r="B297" s="258"/>
      <c r="C297" s="259"/>
      <c r="D297" s="254" t="s">
        <v>488</v>
      </c>
      <c r="E297" s="254"/>
      <c r="F297" s="254"/>
      <c r="G297" s="254"/>
      <c r="H297" s="254"/>
      <c r="I297" s="254"/>
      <c r="J297" s="254"/>
      <c r="K297" s="254"/>
      <c r="L297" s="254"/>
      <c r="M297" s="254"/>
      <c r="N297" s="254"/>
      <c r="O297" s="254"/>
      <c r="P297" s="254"/>
      <c r="Q297" s="254"/>
      <c r="R297" s="254"/>
      <c r="S297" s="254"/>
      <c r="T297" s="254"/>
      <c r="U297" s="254"/>
    </row>
    <row r="298" spans="2:21">
      <c r="B298" s="258"/>
      <c r="C298" s="259"/>
      <c r="D298" s="2"/>
      <c r="E298" s="254"/>
      <c r="F298" s="254"/>
      <c r="G298" s="254"/>
      <c r="H298" s="254"/>
      <c r="I298" s="254"/>
      <c r="J298" s="254"/>
      <c r="K298" s="254"/>
      <c r="L298" s="254"/>
      <c r="M298" s="254"/>
      <c r="N298" s="254"/>
      <c r="O298" s="254"/>
      <c r="P298" s="254"/>
      <c r="Q298" s="254"/>
      <c r="R298" s="254"/>
      <c r="S298" s="254"/>
      <c r="T298" s="254"/>
      <c r="U298" s="254"/>
    </row>
    <row r="299" spans="2:21" ht="15" customHeight="1">
      <c r="B299" s="258" t="s">
        <v>150</v>
      </c>
      <c r="C299" s="259"/>
      <c r="D299" s="1202" t="s">
        <v>595</v>
      </c>
      <c r="E299" s="1204"/>
      <c r="F299" s="1204"/>
      <c r="G299" s="1204"/>
      <c r="H299" s="1204"/>
      <c r="I299" s="1204"/>
      <c r="J299" s="1204"/>
      <c r="K299" s="1204"/>
      <c r="L299" s="254"/>
      <c r="M299" s="254"/>
      <c r="N299" s="254"/>
      <c r="O299" s="254"/>
      <c r="P299" s="254"/>
      <c r="Q299" s="254"/>
      <c r="R299" s="254"/>
      <c r="S299" s="254"/>
      <c r="T299" s="254"/>
      <c r="U299" s="254"/>
    </row>
    <row r="300" spans="2:21">
      <c r="B300" s="258"/>
      <c r="C300" s="259"/>
      <c r="D300" s="1204"/>
      <c r="E300" s="1204"/>
      <c r="F300" s="1204"/>
      <c r="G300" s="1204"/>
      <c r="H300" s="1204"/>
      <c r="I300" s="1204"/>
      <c r="J300" s="1204"/>
      <c r="K300" s="1204"/>
      <c r="L300" s="254"/>
      <c r="M300" s="254"/>
      <c r="N300" s="254"/>
      <c r="O300" s="254"/>
      <c r="P300" s="254"/>
      <c r="Q300" s="254"/>
      <c r="R300" s="254"/>
      <c r="S300" s="254"/>
      <c r="T300" s="254"/>
      <c r="U300" s="254"/>
    </row>
    <row r="301" spans="2:21">
      <c r="E301" s="254"/>
      <c r="F301" s="254"/>
      <c r="G301" s="254"/>
      <c r="H301" s="254"/>
      <c r="I301" s="254"/>
      <c r="J301" s="254"/>
      <c r="K301" s="254"/>
      <c r="L301" s="254"/>
      <c r="M301" s="254"/>
      <c r="N301" s="254"/>
      <c r="O301" s="254"/>
      <c r="P301" s="254"/>
      <c r="Q301" s="254"/>
      <c r="R301" s="254"/>
      <c r="S301" s="254"/>
      <c r="T301" s="254"/>
      <c r="U301" s="254"/>
    </row>
    <row r="302" spans="2:21">
      <c r="B302" s="258" t="s">
        <v>151</v>
      </c>
      <c r="C302" s="259"/>
      <c r="D302" s="2" t="s">
        <v>857</v>
      </c>
      <c r="E302" s="254"/>
      <c r="F302" s="254"/>
      <c r="G302" s="254"/>
      <c r="H302" s="254"/>
      <c r="I302" s="254"/>
      <c r="J302" s="254"/>
      <c r="K302" s="254"/>
      <c r="L302" s="254"/>
      <c r="M302" s="254"/>
      <c r="N302" s="254"/>
      <c r="O302" s="254"/>
      <c r="P302" s="254"/>
      <c r="Q302" s="254"/>
      <c r="R302" s="254"/>
      <c r="S302" s="254"/>
      <c r="T302" s="254"/>
      <c r="U302" s="254"/>
    </row>
    <row r="303" spans="2:21">
      <c r="B303" s="258"/>
      <c r="C303" s="259"/>
      <c r="D303" s="2"/>
      <c r="E303" s="254"/>
      <c r="F303" s="254"/>
      <c r="G303" s="254"/>
      <c r="H303" s="254"/>
      <c r="I303" s="254"/>
      <c r="J303" s="254"/>
      <c r="K303" s="254"/>
      <c r="L303" s="254"/>
      <c r="M303" s="254"/>
      <c r="N303" s="254"/>
      <c r="O303" s="254"/>
      <c r="P303" s="254"/>
      <c r="Q303" s="254"/>
      <c r="R303" s="254"/>
      <c r="S303" s="254"/>
      <c r="T303" s="254"/>
      <c r="U303" s="254"/>
    </row>
    <row r="304" spans="2:21">
      <c r="B304" s="258" t="s">
        <v>152</v>
      </c>
      <c r="C304" s="259"/>
      <c r="D304" s="1219" t="s">
        <v>579</v>
      </c>
      <c r="E304" s="1219"/>
      <c r="F304" s="1219"/>
      <c r="G304" s="1219"/>
      <c r="H304" s="1219"/>
      <c r="I304" s="1219"/>
      <c r="J304" s="1219"/>
      <c r="K304" s="1219"/>
      <c r="L304" s="1219"/>
      <c r="M304" s="254"/>
      <c r="N304" s="254"/>
      <c r="O304" s="254"/>
      <c r="P304" s="254"/>
      <c r="Q304" s="254"/>
      <c r="R304" s="254"/>
      <c r="S304" s="254"/>
      <c r="T304" s="254"/>
      <c r="U304" s="254"/>
    </row>
    <row r="305" spans="2:21">
      <c r="B305" s="258"/>
      <c r="C305" s="259"/>
      <c r="D305" s="1219"/>
      <c r="E305" s="1219"/>
      <c r="F305" s="1219"/>
      <c r="G305" s="1219"/>
      <c r="H305" s="1219"/>
      <c r="I305" s="1219"/>
      <c r="J305" s="1219"/>
      <c r="K305" s="1219"/>
      <c r="L305" s="1219"/>
      <c r="M305" s="254"/>
      <c r="N305" s="254"/>
      <c r="O305" s="254"/>
      <c r="P305" s="254"/>
      <c r="Q305" s="254"/>
      <c r="R305" s="254"/>
      <c r="S305" s="254"/>
      <c r="T305" s="254"/>
      <c r="U305" s="254"/>
    </row>
    <row r="306" spans="2:21">
      <c r="B306" s="258"/>
      <c r="C306" s="259"/>
      <c r="D306" s="254" t="s">
        <v>580</v>
      </c>
      <c r="E306" s="254"/>
      <c r="F306" s="254"/>
      <c r="G306" s="254"/>
      <c r="H306" s="254"/>
      <c r="I306" s="254"/>
      <c r="J306" s="254"/>
      <c r="K306" s="254"/>
      <c r="L306" s="254"/>
      <c r="M306" s="254"/>
      <c r="N306" s="254"/>
      <c r="O306" s="254"/>
      <c r="P306" s="254"/>
      <c r="Q306" s="254"/>
      <c r="R306" s="254"/>
      <c r="S306" s="254"/>
      <c r="T306" s="254"/>
      <c r="U306" s="254"/>
    </row>
    <row r="307" spans="2:21">
      <c r="B307" s="258"/>
      <c r="C307" s="259"/>
      <c r="D307" s="254" t="s">
        <v>581</v>
      </c>
      <c r="E307" s="254"/>
      <c r="F307" s="254"/>
      <c r="G307" s="254"/>
      <c r="H307" s="254"/>
      <c r="I307" s="254"/>
      <c r="J307" s="254"/>
      <c r="K307" s="254"/>
      <c r="L307" s="254"/>
      <c r="M307" s="254"/>
      <c r="N307" s="254"/>
      <c r="O307" s="254"/>
      <c r="P307" s="254"/>
      <c r="Q307" s="254"/>
      <c r="R307" s="254"/>
      <c r="S307" s="254"/>
      <c r="T307" s="254"/>
      <c r="U307" s="254"/>
    </row>
    <row r="308" spans="2:21" ht="30" customHeight="1">
      <c r="B308" s="258"/>
      <c r="C308" s="259"/>
      <c r="D308" s="1219" t="s">
        <v>578</v>
      </c>
      <c r="E308" s="1219"/>
      <c r="F308" s="1219"/>
      <c r="G308" s="1219"/>
      <c r="H308" s="1219"/>
      <c r="I308" s="1219"/>
      <c r="J308" s="1219"/>
      <c r="K308" s="1219"/>
      <c r="L308" s="1219"/>
      <c r="M308" s="254"/>
      <c r="N308" s="254"/>
      <c r="O308" s="254"/>
      <c r="P308" s="254"/>
      <c r="Q308" s="254"/>
      <c r="R308" s="254"/>
      <c r="S308" s="254"/>
      <c r="T308" s="254"/>
      <c r="U308" s="254"/>
    </row>
    <row r="309" spans="2:21" ht="21.75" customHeight="1">
      <c r="B309" s="258" t="s">
        <v>153</v>
      </c>
      <c r="C309" s="254"/>
      <c r="D309" s="254" t="str">
        <f>"Cash Working Capital assigned to transmission is one-eighth of O&amp;M allocated to transmission, as shown on line "&amp;B155&amp;". It excludes:"</f>
        <v>Cash Working Capital assigned to transmission is one-eighth of O&amp;M allocated to transmission, as shown on line 78. It excludes:</v>
      </c>
      <c r="E309" s="4"/>
      <c r="F309" s="4"/>
      <c r="G309" s="4"/>
      <c r="H309" s="4"/>
      <c r="I309" s="4"/>
      <c r="J309" s="4"/>
      <c r="K309" s="4"/>
      <c r="L309" s="4"/>
      <c r="M309" s="254"/>
      <c r="N309" s="254"/>
      <c r="O309" s="254"/>
      <c r="P309" s="254"/>
      <c r="Q309" s="254"/>
      <c r="R309" s="254"/>
      <c r="S309" s="254"/>
      <c r="T309" s="254"/>
      <c r="U309" s="254"/>
    </row>
    <row r="310" spans="2:21">
      <c r="B310" s="258"/>
      <c r="C310" s="254"/>
      <c r="D310" s="377" t="str">
        <f>+"1)  Load Scheduling &amp; Dispatch Charges in account 561 that are collected in the OATT Ancillary Services Revenue, as shown on line "&amp;B152&amp;"."</f>
        <v>1)  Load Scheduling &amp; Dispatch Charges in account 561 that are collected in the OATT Ancillary Services Revenue, as shown on line 75.</v>
      </c>
      <c r="E310" s="72"/>
      <c r="F310" s="72"/>
      <c r="G310" s="72"/>
      <c r="H310" s="72"/>
      <c r="I310" s="72"/>
      <c r="J310" s="72"/>
      <c r="K310" s="72"/>
      <c r="L310" s="72"/>
      <c r="M310" s="254"/>
      <c r="N310" s="254"/>
      <c r="O310" s="254"/>
      <c r="P310" s="254"/>
      <c r="Q310" s="254"/>
      <c r="R310" s="254"/>
      <c r="S310" s="254"/>
      <c r="T310" s="254"/>
      <c r="U310" s="254"/>
    </row>
    <row r="311" spans="2:21">
      <c r="B311" s="258"/>
      <c r="C311" s="254"/>
      <c r="D311" s="378" t="str">
        <f>+"2)  Costs of Transmission of Electricity by Others, as described in Note H."</f>
        <v>2)  Costs of Transmission of Electricity by Others, as described in Note H.</v>
      </c>
      <c r="E311" s="4"/>
      <c r="F311" s="4"/>
      <c r="G311" s="4"/>
      <c r="H311" s="4"/>
      <c r="I311" s="4"/>
      <c r="J311" s="4"/>
      <c r="K311" s="4"/>
      <c r="L311" s="4"/>
      <c r="M311" s="254"/>
      <c r="N311" s="254"/>
      <c r="O311" s="254"/>
      <c r="P311" s="254"/>
      <c r="Q311" s="254"/>
      <c r="R311" s="254"/>
      <c r="S311" s="254"/>
      <c r="T311" s="254"/>
      <c r="U311" s="254"/>
    </row>
    <row r="312" spans="2:21">
      <c r="B312" s="258"/>
      <c r="C312" s="254"/>
      <c r="D312" s="377" t="str">
        <f>+"3)  The impact of state regulatory deferrals and amortizations, as shown on line  "&amp;B154&amp;""</f>
        <v>3)  The impact of state regulatory deferrals and amortizations, as shown on line  77</v>
      </c>
      <c r="E312" s="72"/>
      <c r="F312" s="72"/>
      <c r="G312" s="72"/>
      <c r="H312" s="72"/>
      <c r="I312" s="72"/>
      <c r="J312" s="72"/>
      <c r="K312" s="72"/>
      <c r="L312" s="72"/>
      <c r="M312" s="254"/>
      <c r="N312" s="254"/>
      <c r="O312" s="254"/>
      <c r="P312" s="254"/>
      <c r="Q312" s="254"/>
      <c r="R312" s="254"/>
      <c r="S312" s="254"/>
      <c r="T312" s="254"/>
      <c r="U312" s="254"/>
    </row>
    <row r="313" spans="2:21">
      <c r="B313" s="258"/>
      <c r="C313" s="72"/>
      <c r="D313" s="378" t="str">
        <f>"4) All A&amp;G Expenses, as shown on line "&amp;B172&amp;"."</f>
        <v>4) All A&amp;G Expenses, as shown on line 93.</v>
      </c>
      <c r="E313" s="4"/>
      <c r="F313" s="4"/>
      <c r="G313" s="4"/>
      <c r="H313" s="4"/>
      <c r="I313" s="4"/>
      <c r="J313" s="4"/>
      <c r="K313" s="4"/>
      <c r="L313" s="4"/>
      <c r="M313" s="254"/>
      <c r="N313" s="254"/>
      <c r="O313" s="254"/>
      <c r="P313" s="254"/>
      <c r="Q313" s="254"/>
      <c r="R313" s="254"/>
      <c r="S313" s="254"/>
      <c r="T313" s="254"/>
      <c r="U313" s="254"/>
    </row>
    <row r="314" spans="2:21">
      <c r="B314" s="258"/>
      <c r="C314" s="259"/>
      <c r="D314" s="377"/>
      <c r="E314" s="377"/>
      <c r="F314" s="377"/>
      <c r="G314" s="377"/>
      <c r="H314" s="377"/>
      <c r="I314" s="377"/>
      <c r="J314" s="377"/>
      <c r="K314" s="377"/>
      <c r="L314" s="377"/>
      <c r="M314" s="254"/>
      <c r="N314" s="254"/>
      <c r="O314" s="254"/>
      <c r="P314" s="254"/>
      <c r="Q314" s="254"/>
      <c r="R314" s="254"/>
      <c r="S314" s="254"/>
      <c r="T314" s="254"/>
      <c r="U314" s="254"/>
    </row>
    <row r="315" spans="2:21">
      <c r="B315" s="376" t="s">
        <v>154</v>
      </c>
      <c r="C315" s="323"/>
      <c r="D315" s="379" t="str">
        <f>"Consistent with Paragraph 657 of Order 2003-A, the amount on line "&amp;B129&amp;" is equal to the balance of IPP System Upgrade Credits owed to transmission customers that"</f>
        <v>Consistent with Paragraph 657 of Order 2003-A, the amount on line 67 is equal to the balance of IPP System Upgrade Credits owed to transmission customers that</v>
      </c>
      <c r="E315" s="379"/>
      <c r="F315" s="379"/>
      <c r="G315" s="379"/>
      <c r="H315" s="379"/>
      <c r="I315" s="379"/>
      <c r="J315" s="379"/>
      <c r="K315" s="379"/>
      <c r="L315" s="379"/>
      <c r="M315" s="254"/>
      <c r="N315" s="254"/>
      <c r="O315" s="254"/>
      <c r="P315" s="254"/>
      <c r="Q315" s="254"/>
      <c r="R315" s="254"/>
      <c r="S315" s="254"/>
      <c r="T315" s="254"/>
      <c r="U315" s="254"/>
    </row>
    <row r="316" spans="2:21">
      <c r="D316" s="379" t="s">
        <v>219</v>
      </c>
      <c r="E316" s="379"/>
      <c r="F316" s="379"/>
      <c r="G316" s="379"/>
      <c r="H316" s="379"/>
      <c r="I316" s="379"/>
      <c r="J316" s="379"/>
      <c r="K316" s="379"/>
      <c r="L316" s="379"/>
      <c r="M316" s="254"/>
      <c r="N316" s="254"/>
      <c r="O316" s="254"/>
      <c r="P316" s="254"/>
      <c r="Q316" s="254"/>
      <c r="R316" s="254"/>
      <c r="S316" s="254"/>
      <c r="T316" s="254"/>
      <c r="U316" s="254"/>
    </row>
    <row r="317" spans="2:21">
      <c r="D317" s="379" t="str">
        <f>"expense is included on line "&amp;B215&amp;"."</f>
        <v>expense is included on line 127.</v>
      </c>
      <c r="E317" s="379"/>
      <c r="F317" s="379"/>
      <c r="G317" s="379"/>
      <c r="H317" s="379"/>
      <c r="I317" s="379"/>
      <c r="J317" s="379"/>
      <c r="K317" s="379"/>
      <c r="L317" s="379"/>
      <c r="M317" s="254"/>
      <c r="N317" s="254"/>
      <c r="O317" s="254"/>
      <c r="P317" s="254"/>
      <c r="Q317" s="254"/>
      <c r="R317" s="254"/>
      <c r="S317" s="254"/>
      <c r="T317" s="254"/>
      <c r="U317" s="254"/>
    </row>
    <row r="318" spans="2:21">
      <c r="D318" s="379"/>
      <c r="E318" s="379"/>
      <c r="F318" s="379"/>
      <c r="G318" s="379"/>
      <c r="H318" s="379"/>
      <c r="I318" s="379"/>
      <c r="J318" s="379"/>
      <c r="K318" s="379"/>
      <c r="L318" s="379"/>
      <c r="N318" s="254"/>
      <c r="O318" s="254"/>
      <c r="P318" s="254"/>
      <c r="Q318" s="254"/>
      <c r="R318" s="254"/>
      <c r="S318" s="254"/>
      <c r="T318" s="254"/>
      <c r="U318" s="254"/>
    </row>
    <row r="319" spans="2:21">
      <c r="B319" s="376" t="s">
        <v>155</v>
      </c>
      <c r="D319" s="1206" t="str">
        <f>"Removes from the cost of service the Load Scheduling and Dispatch expenses booked to accounts 561.1 through 561.8.  Expenses recorded in these accounts, with the exception of 561.4 &amp; 561.8 (lines "&amp;B45&amp;" &amp; "&amp;B46&amp;" above) are recovered in Schedule 1A, OATT ancillary services rates. See Worksheet F, lines "&amp;'WS F Misc Exp'!A24&amp;" through "&amp;'WS F Misc Exp'!A33&amp;", for descriptions and the Form 1 Source of these accounts' balances."</f>
        <v>Removes from the cost of service the Load Scheduling and Dispatch expenses booked to accounts 561.1 through 561.8.  Expenses recorded in these accounts, with the exception of 561.4 &amp; 561.8 (lines 16 &amp; 17 above) are recovered in Schedule 1A, OATT ancillary services rates. See Worksheet F, lines 5 through 14, for descriptions and the Form 1 Source of these accounts' balances.</v>
      </c>
      <c r="E319" s="1206"/>
      <c r="F319" s="1206"/>
      <c r="G319" s="1206"/>
      <c r="H319" s="1206"/>
      <c r="I319" s="1206"/>
      <c r="J319" s="1206"/>
      <c r="K319" s="1206"/>
      <c r="L319" s="379"/>
      <c r="N319" s="254"/>
      <c r="O319" s="254"/>
      <c r="P319" s="254"/>
      <c r="Q319" s="254"/>
      <c r="R319" s="254"/>
      <c r="S319" s="254"/>
      <c r="T319" s="254"/>
      <c r="U319" s="254"/>
    </row>
    <row r="320" spans="2:21">
      <c r="B320" s="376"/>
      <c r="D320" s="1206"/>
      <c r="E320" s="1206"/>
      <c r="F320" s="1206"/>
      <c r="G320" s="1206"/>
      <c r="H320" s="1206"/>
      <c r="I320" s="1206"/>
      <c r="J320" s="1206"/>
      <c r="K320" s="1206"/>
      <c r="L320" s="379"/>
      <c r="N320" s="254"/>
      <c r="O320" s="254"/>
      <c r="P320" s="254"/>
      <c r="Q320" s="254"/>
      <c r="R320" s="254"/>
      <c r="S320" s="254"/>
      <c r="T320" s="254"/>
      <c r="U320" s="254"/>
    </row>
    <row r="321" spans="2:21">
      <c r="B321" s="376"/>
      <c r="D321" s="1206"/>
      <c r="E321" s="1206"/>
      <c r="F321" s="1206"/>
      <c r="G321" s="1206"/>
      <c r="H321" s="1206"/>
      <c r="I321" s="1206"/>
      <c r="J321" s="1206"/>
      <c r="K321" s="1206"/>
      <c r="L321" s="379"/>
      <c r="N321" s="254"/>
      <c r="O321" s="254"/>
      <c r="P321" s="254"/>
      <c r="Q321" s="254"/>
      <c r="R321" s="254"/>
      <c r="S321" s="254"/>
      <c r="T321" s="254"/>
      <c r="U321" s="254"/>
    </row>
    <row r="322" spans="2:21">
      <c r="B322" s="376"/>
      <c r="D322" s="377"/>
      <c r="E322" s="379"/>
      <c r="F322" s="379"/>
      <c r="G322" s="379"/>
      <c r="H322" s="379"/>
      <c r="I322" s="379"/>
      <c r="J322" s="379"/>
      <c r="K322" s="379"/>
      <c r="L322" s="379"/>
      <c r="N322" s="254"/>
      <c r="O322" s="254"/>
      <c r="P322" s="254"/>
      <c r="Q322" s="254"/>
      <c r="R322" s="254"/>
      <c r="S322" s="254"/>
      <c r="T322" s="254"/>
      <c r="U322" s="254"/>
    </row>
    <row r="323" spans="2:21">
      <c r="B323" s="376" t="s">
        <v>156</v>
      </c>
      <c r="D323" s="1221" t="str">
        <f>"Removes cost of transmission service provided by others to determine the basis of cash working capital on line "&amp;B155&amp;". To the extent such service is incurred to provide the PJM service at issue, e.g. lease payments to affiliates, such cost is added back on line "&amp;B175&amp;" to determine the total O&amp;M collected in the formula.  The amounts on line "&amp;B175&amp;" is also excluded in the calculation of the FCR percentage calculated on lines "&amp;B29&amp;" through "&amp;B37&amp;"."</f>
        <v>Removes cost of transmission service provided by others to determine the basis of cash working capital on line 78. To the extent such service is incurred to provide the PJM service at issue, e.g. lease payments to affiliates, such cost is added back on line 95 to determine the total O&amp;M collected in the formula.  The amounts on line 95 is also excluded in the calculation of the FCR percentage calculated on lines 6 through 12.</v>
      </c>
      <c r="E323" s="1221"/>
      <c r="F323" s="1221"/>
      <c r="G323" s="1221"/>
      <c r="H323" s="1221"/>
      <c r="I323" s="1221"/>
      <c r="J323" s="1221"/>
      <c r="K323" s="1221"/>
      <c r="L323" s="379"/>
      <c r="N323" s="254"/>
      <c r="O323" s="254"/>
      <c r="P323" s="254"/>
      <c r="Q323" s="254"/>
      <c r="R323" s="254"/>
      <c r="S323" s="254"/>
      <c r="T323" s="254"/>
      <c r="U323" s="254"/>
    </row>
    <row r="324" spans="2:21">
      <c r="B324" s="376"/>
      <c r="D324" s="1221"/>
      <c r="E324" s="1221"/>
      <c r="F324" s="1221"/>
      <c r="G324" s="1221"/>
      <c r="H324" s="1221"/>
      <c r="I324" s="1221"/>
      <c r="J324" s="1221"/>
      <c r="K324" s="1221"/>
      <c r="L324" s="379"/>
      <c r="N324" s="254"/>
      <c r="O324" s="254"/>
      <c r="P324" s="254"/>
      <c r="Q324" s="254"/>
      <c r="R324" s="254"/>
      <c r="S324" s="254"/>
      <c r="T324" s="254"/>
      <c r="U324" s="254"/>
    </row>
    <row r="325" spans="2:21">
      <c r="B325" s="376"/>
      <c r="D325" s="1222"/>
      <c r="E325" s="1222"/>
      <c r="F325" s="1222"/>
      <c r="G325" s="1222"/>
      <c r="H325" s="1222"/>
      <c r="I325" s="1222"/>
      <c r="J325" s="1222"/>
      <c r="K325" s="1222"/>
      <c r="L325" s="379"/>
      <c r="N325" s="254"/>
      <c r="O325" s="254"/>
      <c r="P325" s="254"/>
      <c r="Q325" s="254"/>
      <c r="R325" s="254"/>
      <c r="S325" s="254"/>
      <c r="T325" s="254"/>
      <c r="U325" s="254"/>
    </row>
    <row r="326" spans="2:21">
      <c r="B326" s="376"/>
      <c r="D326" s="1226" t="str">
        <f>"The addbacks  on line "&amp;B175&amp;" of activity recorded in 565 represents inter-company sales or purchases of transmission capacity necessary to meet each AEP company's transmission load relative to their available transmission capacity."</f>
        <v>The addbacks  on line 95 of activity recorded in 565 represents inter-company sales or purchases of transmission capacity necessary to meet each AEP company's transmission load relative to their available transmission capacity.</v>
      </c>
      <c r="E326" s="1226"/>
      <c r="F326" s="1226"/>
      <c r="G326" s="1226"/>
      <c r="H326" s="1226"/>
      <c r="I326" s="1226"/>
      <c r="J326" s="1226"/>
      <c r="K326" s="380"/>
      <c r="L326" s="379"/>
      <c r="N326" s="254"/>
      <c r="O326" s="254"/>
      <c r="P326" s="254"/>
      <c r="Q326" s="254"/>
      <c r="R326" s="254"/>
      <c r="S326" s="254"/>
      <c r="T326" s="254"/>
      <c r="U326" s="254"/>
    </row>
    <row r="327" spans="2:21">
      <c r="B327" s="376"/>
      <c r="D327" s="1226"/>
      <c r="E327" s="1226"/>
      <c r="F327" s="1226"/>
      <c r="G327" s="1226"/>
      <c r="H327" s="1226"/>
      <c r="I327" s="1226"/>
      <c r="J327" s="1226"/>
      <c r="K327" s="380"/>
      <c r="L327" s="379"/>
      <c r="N327" s="254"/>
      <c r="O327" s="254"/>
      <c r="P327" s="254"/>
      <c r="Q327" s="254"/>
      <c r="R327" s="254"/>
      <c r="S327" s="254"/>
      <c r="T327" s="254"/>
      <c r="U327" s="254"/>
    </row>
    <row r="328" spans="2:21">
      <c r="B328" s="376"/>
      <c r="D328" s="379" t="str">
        <f>"The company records referenced on line "&amp;B175&amp;" is the "&amp;F9&amp;" general ledger."</f>
        <v>The company records referenced on line 95 is the Indiana Michigan Power Company  general ledger.</v>
      </c>
      <c r="E328" s="381"/>
      <c r="F328" s="381"/>
      <c r="G328" s="381"/>
      <c r="H328" s="381"/>
      <c r="I328" s="381"/>
      <c r="J328" s="381"/>
      <c r="K328" s="381"/>
      <c r="L328" s="379"/>
      <c r="N328" s="254"/>
      <c r="O328" s="254"/>
      <c r="P328" s="254"/>
      <c r="Q328" s="254"/>
      <c r="R328" s="254"/>
      <c r="S328" s="254"/>
      <c r="T328" s="254"/>
      <c r="U328" s="254"/>
    </row>
    <row r="329" spans="2:21">
      <c r="B329" s="376"/>
      <c r="D329" s="379"/>
      <c r="E329" s="381"/>
      <c r="F329" s="381"/>
      <c r="G329" s="381"/>
      <c r="H329" s="381"/>
      <c r="I329" s="381"/>
      <c r="J329" s="381"/>
      <c r="K329" s="381"/>
      <c r="L329" s="379"/>
      <c r="N329" s="254"/>
      <c r="O329" s="254"/>
      <c r="P329" s="254"/>
      <c r="Q329" s="254"/>
      <c r="R329" s="254"/>
      <c r="S329" s="254"/>
      <c r="T329" s="254"/>
      <c r="U329" s="254"/>
    </row>
    <row r="330" spans="2:21">
      <c r="B330" s="376" t="s">
        <v>157</v>
      </c>
      <c r="D330" s="250" t="s">
        <v>582</v>
      </c>
      <c r="E330" s="72"/>
      <c r="F330" s="72"/>
      <c r="G330" s="72"/>
      <c r="H330" s="72"/>
      <c r="I330" s="72"/>
      <c r="J330" s="72"/>
      <c r="K330" s="72"/>
      <c r="L330" s="382"/>
      <c r="N330" s="254"/>
      <c r="O330" s="254"/>
      <c r="P330" s="254"/>
      <c r="Q330" s="254"/>
      <c r="R330" s="254"/>
      <c r="S330" s="254"/>
      <c r="T330" s="254"/>
      <c r="U330" s="254"/>
    </row>
    <row r="331" spans="2:21">
      <c r="B331" s="376"/>
      <c r="D331" s="382"/>
      <c r="E331" s="382"/>
      <c r="F331" s="382"/>
      <c r="G331" s="382"/>
      <c r="H331" s="382"/>
      <c r="I331" s="382"/>
      <c r="J331" s="382"/>
      <c r="K331" s="382"/>
      <c r="L331" s="382"/>
      <c r="N331" s="254"/>
      <c r="O331" s="254"/>
      <c r="P331" s="254"/>
      <c r="Q331" s="254"/>
      <c r="R331" s="254"/>
      <c r="S331" s="254"/>
      <c r="T331" s="254"/>
      <c r="U331" s="254"/>
    </row>
    <row r="332" spans="2:21">
      <c r="B332" s="376" t="s">
        <v>158</v>
      </c>
      <c r="D332" s="1203" t="s">
        <v>49</v>
      </c>
      <c r="E332" s="1204"/>
      <c r="F332" s="1204"/>
      <c r="G332" s="1204"/>
      <c r="H332" s="1204"/>
      <c r="I332" s="1204"/>
      <c r="J332" s="1204"/>
      <c r="K332" s="379"/>
      <c r="L332" s="379"/>
      <c r="N332" s="254"/>
      <c r="O332" s="254"/>
      <c r="P332" s="254"/>
      <c r="Q332" s="254"/>
      <c r="R332" s="254"/>
      <c r="S332" s="254"/>
      <c r="T332" s="254"/>
      <c r="U332" s="254"/>
    </row>
    <row r="333" spans="2:21">
      <c r="B333" s="376"/>
      <c r="D333" s="1205"/>
      <c r="E333" s="1205"/>
      <c r="F333" s="1205"/>
      <c r="G333" s="1205"/>
      <c r="H333" s="1205"/>
      <c r="I333" s="1205"/>
      <c r="J333" s="1205"/>
      <c r="K333" s="382"/>
      <c r="L333" s="382"/>
      <c r="N333" s="254"/>
      <c r="O333" s="254"/>
      <c r="P333" s="254"/>
      <c r="Q333" s="254"/>
      <c r="R333" s="254"/>
      <c r="S333" s="254"/>
      <c r="T333" s="254"/>
      <c r="U333" s="254"/>
    </row>
    <row r="334" spans="2:21">
      <c r="B334" s="376"/>
      <c r="D334" s="1204"/>
      <c r="E334" s="1204"/>
      <c r="F334" s="1204"/>
      <c r="G334" s="1204"/>
      <c r="H334" s="1204"/>
      <c r="I334" s="1204"/>
      <c r="J334" s="1204"/>
      <c r="K334" s="379"/>
      <c r="L334" s="379"/>
      <c r="N334" s="254"/>
      <c r="O334" s="254"/>
      <c r="P334" s="254"/>
      <c r="Q334" s="254"/>
      <c r="R334" s="254"/>
      <c r="S334" s="254"/>
      <c r="T334" s="254"/>
      <c r="U334" s="254"/>
    </row>
    <row r="335" spans="2:21">
      <c r="B335" s="376"/>
      <c r="D335" s="379"/>
      <c r="E335" s="379"/>
      <c r="F335" s="379"/>
      <c r="G335" s="379"/>
      <c r="H335" s="379"/>
      <c r="I335" s="379"/>
      <c r="J335" s="379"/>
      <c r="K335" s="379"/>
      <c r="L335" s="379"/>
      <c r="N335" s="254"/>
      <c r="O335" s="254"/>
      <c r="P335" s="254"/>
      <c r="Q335" s="254"/>
      <c r="R335" s="254"/>
      <c r="S335" s="254"/>
      <c r="T335" s="254"/>
      <c r="U335" s="254"/>
    </row>
    <row r="336" spans="2:21" ht="15.75">
      <c r="B336" s="825" t="s">
        <v>159</v>
      </c>
      <c r="C336" s="826"/>
      <c r="D336" s="1224" t="s">
        <v>852</v>
      </c>
      <c r="E336" s="1225"/>
      <c r="F336" s="1225"/>
      <c r="G336" s="1225"/>
      <c r="H336" s="1225"/>
      <c r="I336" s="1225"/>
      <c r="J336" s="1225"/>
      <c r="K336" s="1225"/>
      <c r="L336" s="382"/>
      <c r="N336" s="254"/>
      <c r="O336" s="254"/>
      <c r="P336" s="254"/>
      <c r="Q336" s="254"/>
      <c r="R336" s="254"/>
      <c r="S336" s="254"/>
      <c r="T336" s="254"/>
      <c r="U336" s="254"/>
    </row>
    <row r="337" spans="2:21" ht="15.75">
      <c r="B337" s="802"/>
      <c r="C337" s="826"/>
      <c r="D337" s="1225"/>
      <c r="E337" s="1225"/>
      <c r="F337" s="1225"/>
      <c r="G337" s="1225"/>
      <c r="H337" s="1225"/>
      <c r="I337" s="1225"/>
      <c r="J337" s="1225"/>
      <c r="K337" s="1225"/>
      <c r="L337" s="379"/>
      <c r="N337" s="254"/>
      <c r="O337" s="254"/>
      <c r="P337" s="254"/>
      <c r="Q337" s="254"/>
      <c r="R337" s="254"/>
      <c r="S337" s="254"/>
      <c r="T337" s="254"/>
      <c r="U337" s="254"/>
    </row>
    <row r="338" spans="2:21">
      <c r="B338" s="376"/>
      <c r="D338" s="379"/>
      <c r="E338" s="379"/>
      <c r="F338" s="379"/>
      <c r="G338" s="379"/>
      <c r="H338" s="379"/>
      <c r="I338" s="379"/>
      <c r="J338" s="379"/>
      <c r="K338" s="379"/>
      <c r="L338" s="379"/>
      <c r="N338" s="254"/>
      <c r="O338" s="254"/>
      <c r="P338" s="254"/>
      <c r="Q338" s="254"/>
      <c r="R338" s="254"/>
      <c r="S338" s="254"/>
      <c r="T338" s="254"/>
      <c r="U338" s="254"/>
    </row>
    <row r="339" spans="2:21">
      <c r="B339" s="258" t="s">
        <v>160</v>
      </c>
      <c r="C339" s="259"/>
      <c r="D339" s="1219" t="s">
        <v>583</v>
      </c>
      <c r="E339" s="1219"/>
      <c r="F339" s="1219"/>
      <c r="G339" s="1219"/>
      <c r="H339" s="1219"/>
      <c r="I339" s="1219"/>
      <c r="J339" s="1219"/>
      <c r="K339" s="1219"/>
      <c r="L339" s="1219"/>
      <c r="N339" s="254"/>
      <c r="O339" s="254"/>
      <c r="P339" s="254"/>
      <c r="Q339" s="254"/>
      <c r="R339" s="254"/>
      <c r="S339" s="254"/>
      <c r="T339" s="254"/>
      <c r="U339" s="254"/>
    </row>
    <row r="340" spans="2:21">
      <c r="B340" s="258"/>
      <c r="C340" s="259"/>
      <c r="D340" s="1219"/>
      <c r="E340" s="1219"/>
      <c r="F340" s="1219"/>
      <c r="G340" s="1219"/>
      <c r="H340" s="1219"/>
      <c r="I340" s="1219"/>
      <c r="J340" s="1219"/>
      <c r="K340" s="1219"/>
      <c r="L340" s="1219"/>
      <c r="N340" s="254"/>
      <c r="O340" s="254"/>
      <c r="P340" s="254"/>
      <c r="Q340" s="254"/>
      <c r="R340" s="254"/>
      <c r="S340" s="254"/>
      <c r="T340" s="254"/>
      <c r="U340" s="254"/>
    </row>
    <row r="341" spans="2:21">
      <c r="B341" s="258"/>
      <c r="C341" s="259"/>
      <c r="D341" s="1219"/>
      <c r="E341" s="1219"/>
      <c r="F341" s="1219"/>
      <c r="G341" s="1219"/>
      <c r="H341" s="1219"/>
      <c r="I341" s="1219"/>
      <c r="J341" s="1219"/>
      <c r="K341" s="1219"/>
      <c r="L341" s="1219"/>
      <c r="N341" s="254"/>
      <c r="O341" s="254"/>
      <c r="P341" s="254"/>
      <c r="Q341" s="254"/>
      <c r="R341" s="254"/>
      <c r="S341" s="254"/>
      <c r="T341" s="254"/>
      <c r="U341" s="254"/>
    </row>
    <row r="342" spans="2:21">
      <c r="B342" s="258"/>
      <c r="C342" s="259"/>
      <c r="D342" s="1219"/>
      <c r="E342" s="1219"/>
      <c r="F342" s="1219"/>
      <c r="G342" s="1219"/>
      <c r="H342" s="1219"/>
      <c r="I342" s="1219"/>
      <c r="J342" s="1219"/>
      <c r="K342" s="1219"/>
      <c r="L342" s="1219"/>
      <c r="N342" s="254"/>
      <c r="O342" s="254"/>
      <c r="P342" s="254"/>
      <c r="Q342" s="254"/>
      <c r="R342" s="254"/>
      <c r="S342" s="254"/>
      <c r="T342" s="254"/>
      <c r="U342" s="254"/>
    </row>
    <row r="343" spans="2:21">
      <c r="B343" s="258"/>
      <c r="C343" s="259"/>
      <c r="D343" s="379"/>
      <c r="E343" s="377"/>
      <c r="F343" s="377"/>
      <c r="G343" s="377"/>
      <c r="H343" s="377"/>
      <c r="I343" s="377"/>
      <c r="J343" s="377"/>
      <c r="K343" s="377"/>
      <c r="L343" s="377"/>
      <c r="N343" s="254"/>
      <c r="O343" s="254"/>
      <c r="P343" s="254"/>
      <c r="Q343" s="254"/>
      <c r="R343" s="254"/>
      <c r="S343" s="254"/>
      <c r="T343" s="254"/>
      <c r="U343" s="254"/>
    </row>
    <row r="344" spans="2:21" ht="15" customHeight="1">
      <c r="B344" s="258" t="s">
        <v>161</v>
      </c>
      <c r="C344" s="259"/>
      <c r="D344" s="1200" t="s">
        <v>850</v>
      </c>
      <c r="E344" s="1201"/>
      <c r="F344" s="1201"/>
      <c r="G344" s="1201"/>
      <c r="H344" s="1201"/>
      <c r="I344" s="1201"/>
      <c r="J344" s="1201"/>
      <c r="K344" s="1201"/>
      <c r="L344" s="1202"/>
      <c r="N344" s="254"/>
      <c r="O344" s="254"/>
      <c r="P344" s="254"/>
      <c r="Q344" s="254"/>
      <c r="R344" s="254"/>
      <c r="S344" s="254"/>
      <c r="T344" s="254"/>
      <c r="U344" s="254"/>
    </row>
    <row r="345" spans="2:21">
      <c r="B345" s="258"/>
      <c r="C345" s="259"/>
      <c r="D345" s="1201"/>
      <c r="E345" s="1201"/>
      <c r="F345" s="1201"/>
      <c r="G345" s="1201"/>
      <c r="H345" s="1201"/>
      <c r="I345" s="1201"/>
      <c r="J345" s="1201"/>
      <c r="K345" s="1201"/>
      <c r="L345" s="1202"/>
      <c r="N345" s="254"/>
      <c r="O345" s="254"/>
      <c r="P345" s="254"/>
      <c r="Q345" s="254"/>
      <c r="R345" s="254"/>
      <c r="S345" s="254"/>
      <c r="T345" s="254"/>
      <c r="U345" s="254"/>
    </row>
    <row r="346" spans="2:21">
      <c r="B346" s="258"/>
      <c r="C346" s="259"/>
      <c r="D346" s="1202"/>
      <c r="E346" s="1202"/>
      <c r="F346" s="1202"/>
      <c r="G346" s="1202"/>
      <c r="H346" s="1202"/>
      <c r="I346" s="1202"/>
      <c r="J346" s="1202"/>
      <c r="K346" s="1202"/>
      <c r="L346" s="1202"/>
      <c r="N346" s="254"/>
      <c r="O346" s="254"/>
      <c r="P346" s="254"/>
      <c r="Q346" s="254"/>
      <c r="R346" s="254"/>
      <c r="S346" s="254"/>
      <c r="T346" s="254"/>
      <c r="U346" s="254"/>
    </row>
    <row r="347" spans="2:21">
      <c r="B347" s="258"/>
      <c r="C347" s="259"/>
      <c r="D347" s="333"/>
      <c r="E347" s="254"/>
      <c r="F347" s="254"/>
      <c r="G347" s="254"/>
      <c r="H347" s="254"/>
      <c r="I347" s="254"/>
      <c r="J347" s="254"/>
      <c r="K347" s="254"/>
      <c r="L347" s="254"/>
      <c r="N347" s="254"/>
      <c r="O347" s="254"/>
      <c r="P347" s="254"/>
      <c r="Q347" s="254"/>
      <c r="R347" s="254"/>
      <c r="S347" s="254"/>
      <c r="T347" s="254"/>
      <c r="U347" s="254"/>
    </row>
    <row r="348" spans="2:21">
      <c r="B348" s="323" t="s">
        <v>246</v>
      </c>
      <c r="C348" s="259"/>
      <c r="D348" s="254" t="s">
        <v>356</v>
      </c>
      <c r="E348" s="2"/>
      <c r="F348" s="2"/>
      <c r="G348" s="2"/>
      <c r="H348" s="2"/>
      <c r="I348" s="2"/>
      <c r="J348" s="2"/>
      <c r="N348" s="254"/>
      <c r="O348" s="254"/>
      <c r="P348" s="254"/>
      <c r="Q348" s="254"/>
      <c r="R348" s="254"/>
      <c r="S348" s="254"/>
      <c r="T348" s="254"/>
      <c r="U348" s="254"/>
    </row>
    <row r="349" spans="2:21">
      <c r="B349" s="323"/>
      <c r="C349" s="259"/>
      <c r="D349" s="2"/>
      <c r="E349" s="2"/>
      <c r="F349" s="2"/>
      <c r="G349" s="2"/>
      <c r="H349" s="2"/>
      <c r="I349" s="2"/>
      <c r="J349" s="2"/>
      <c r="N349" s="254"/>
      <c r="O349" s="254"/>
      <c r="P349" s="254"/>
      <c r="Q349" s="254"/>
      <c r="R349" s="254"/>
      <c r="S349" s="254"/>
      <c r="T349" s="254"/>
      <c r="U349" s="254"/>
    </row>
    <row r="350" spans="2:21">
      <c r="B350" s="258" t="s">
        <v>305</v>
      </c>
      <c r="C350" s="259"/>
      <c r="D350" s="254" t="s">
        <v>345</v>
      </c>
      <c r="N350" s="254"/>
      <c r="O350" s="254"/>
      <c r="P350" s="254"/>
      <c r="Q350" s="254"/>
      <c r="R350" s="254"/>
      <c r="S350" s="254"/>
      <c r="T350" s="254"/>
      <c r="U350" s="254"/>
    </row>
    <row r="351" spans="2:21">
      <c r="B351" s="323"/>
      <c r="C351" s="259"/>
      <c r="D351" s="254" t="s">
        <v>234</v>
      </c>
      <c r="N351" s="254"/>
      <c r="O351" s="254"/>
      <c r="P351" s="254"/>
      <c r="Q351" s="254"/>
      <c r="R351" s="254"/>
      <c r="S351" s="254"/>
      <c r="T351" s="254"/>
      <c r="U351" s="254"/>
    </row>
    <row r="352" spans="2:21">
      <c r="B352" s="323"/>
      <c r="C352" s="259"/>
      <c r="D352" s="254" t="s">
        <v>235</v>
      </c>
      <c r="N352" s="254"/>
      <c r="O352" s="254"/>
      <c r="P352" s="254"/>
      <c r="Q352" s="254"/>
      <c r="R352" s="254"/>
      <c r="S352" s="254"/>
      <c r="T352" s="254"/>
      <c r="U352" s="254"/>
    </row>
    <row r="353" spans="2:21">
      <c r="B353" s="323"/>
      <c r="C353" s="259"/>
      <c r="D353" s="254" t="s">
        <v>236</v>
      </c>
      <c r="N353" s="254"/>
      <c r="O353" s="254"/>
      <c r="P353" s="254"/>
      <c r="Q353" s="254"/>
      <c r="R353" s="254"/>
      <c r="S353" s="254"/>
      <c r="T353" s="254"/>
      <c r="U353" s="254"/>
    </row>
    <row r="354" spans="2:21">
      <c r="B354" s="258"/>
      <c r="C354" s="259"/>
      <c r="D354" s="254" t="str">
        <f>"(ln "&amp;B202&amp;") multiplied by (1/1-T) .  If the applicable tax rates are zero enter 0."</f>
        <v>(ln 118) multiplied by (1/1-T) .  If the applicable tax rates are zero enter 0.</v>
      </c>
      <c r="N354" s="254"/>
      <c r="O354" s="254"/>
      <c r="P354" s="254"/>
      <c r="Q354" s="254"/>
      <c r="R354" s="254"/>
      <c r="S354" s="254"/>
      <c r="T354" s="254"/>
      <c r="U354" s="254"/>
    </row>
    <row r="355" spans="2:21">
      <c r="B355" s="383"/>
      <c r="C355" s="254"/>
      <c r="D355" s="254" t="s">
        <v>346</v>
      </c>
      <c r="E355" s="254" t="s">
        <v>347</v>
      </c>
      <c r="F355" s="620">
        <v>0.21</v>
      </c>
      <c r="G355" s="254"/>
      <c r="N355" s="254"/>
      <c r="O355" s="254"/>
      <c r="P355" s="254"/>
      <c r="Q355" s="254"/>
      <c r="R355" s="254"/>
      <c r="S355" s="254"/>
      <c r="T355" s="254"/>
      <c r="U355" s="254"/>
    </row>
    <row r="356" spans="2:21">
      <c r="B356" s="383"/>
      <c r="C356" s="254"/>
      <c r="D356" s="254"/>
      <c r="E356" s="254" t="s">
        <v>348</v>
      </c>
      <c r="F356" s="280">
        <f>'WS G  State Tax Rate'!F37</f>
        <v>4.8076000000000001E-2</v>
      </c>
      <c r="G356" s="254" t="s">
        <v>506</v>
      </c>
      <c r="N356" s="254"/>
      <c r="O356" s="254"/>
      <c r="P356" s="254"/>
      <c r="Q356" s="254"/>
      <c r="R356" s="254"/>
      <c r="S356" s="254"/>
      <c r="T356" s="254"/>
      <c r="U356" s="254"/>
    </row>
    <row r="357" spans="2:21">
      <c r="B357" s="383"/>
      <c r="C357" s="254"/>
      <c r="D357" s="254"/>
      <c r="E357" s="254" t="s">
        <v>349</v>
      </c>
      <c r="F357" s="620">
        <v>0</v>
      </c>
      <c r="G357" s="254" t="s">
        <v>350</v>
      </c>
      <c r="N357" s="254"/>
      <c r="O357" s="254"/>
      <c r="P357" s="254"/>
      <c r="Q357" s="254"/>
      <c r="R357" s="254"/>
      <c r="S357" s="254"/>
      <c r="T357" s="254"/>
      <c r="U357" s="254"/>
    </row>
    <row r="358" spans="2:21">
      <c r="B358" s="323"/>
      <c r="C358" s="259"/>
      <c r="D358" s="254" t="s">
        <v>593</v>
      </c>
      <c r="M358" s="254"/>
      <c r="N358" s="254"/>
      <c r="O358" s="254"/>
      <c r="P358" s="254"/>
      <c r="Q358" s="254"/>
      <c r="R358" s="254"/>
      <c r="S358" s="254"/>
      <c r="T358" s="254"/>
      <c r="U358" s="254"/>
    </row>
    <row r="359" spans="2:21">
      <c r="B359" s="323"/>
      <c r="C359" s="259"/>
      <c r="D359" s="254" t="s">
        <v>594</v>
      </c>
      <c r="M359" s="254"/>
      <c r="N359" s="254"/>
      <c r="O359" s="254"/>
      <c r="P359" s="254"/>
      <c r="Q359" s="254"/>
      <c r="R359" s="254"/>
      <c r="S359" s="254"/>
      <c r="T359" s="254"/>
      <c r="U359" s="254"/>
    </row>
    <row r="360" spans="2:21">
      <c r="B360" s="258" t="s">
        <v>351</v>
      </c>
      <c r="C360" s="259"/>
      <c r="D360" s="254" t="s">
        <v>225</v>
      </c>
      <c r="N360" s="254"/>
      <c r="O360" s="254"/>
      <c r="P360" s="254"/>
      <c r="Q360" s="254"/>
      <c r="R360" s="254"/>
      <c r="S360" s="254"/>
      <c r="T360" s="254"/>
      <c r="U360" s="254"/>
    </row>
    <row r="361" spans="2:21">
      <c r="B361" s="250"/>
      <c r="D361" s="254"/>
      <c r="N361" s="254"/>
      <c r="O361" s="254"/>
      <c r="P361" s="254"/>
      <c r="Q361" s="254"/>
      <c r="R361" s="254"/>
      <c r="S361" s="254"/>
      <c r="T361" s="254"/>
      <c r="U361" s="254"/>
    </row>
    <row r="362" spans="2:21">
      <c r="B362" s="258" t="s">
        <v>352</v>
      </c>
      <c r="C362" s="259"/>
      <c r="D362" s="254" t="s">
        <v>22</v>
      </c>
      <c r="N362" s="254"/>
      <c r="O362" s="254"/>
      <c r="P362" s="254"/>
      <c r="Q362" s="254"/>
      <c r="R362" s="254"/>
      <c r="S362" s="254"/>
      <c r="T362" s="254"/>
      <c r="U362" s="254"/>
    </row>
    <row r="363" spans="2:21">
      <c r="B363" s="258"/>
      <c r="C363" s="259"/>
      <c r="D363" s="254"/>
      <c r="E363" s="254"/>
      <c r="F363" s="254"/>
      <c r="G363" s="254"/>
      <c r="H363" s="254"/>
      <c r="I363" s="254"/>
      <c r="J363" s="254"/>
      <c r="K363" s="254"/>
      <c r="L363" s="254"/>
      <c r="M363" s="254"/>
      <c r="N363" s="254"/>
      <c r="O363" s="254"/>
      <c r="P363" s="254"/>
      <c r="Q363" s="254"/>
      <c r="R363" s="254"/>
      <c r="S363" s="254"/>
      <c r="T363" s="254"/>
      <c r="U363" s="254"/>
    </row>
    <row r="364" spans="2:21">
      <c r="B364" s="258" t="s">
        <v>353</v>
      </c>
      <c r="C364" s="259"/>
      <c r="D364" s="254" t="s">
        <v>416</v>
      </c>
      <c r="E364" s="254"/>
      <c r="F364" s="254"/>
      <c r="G364" s="254"/>
      <c r="H364" s="254"/>
      <c r="I364" s="254"/>
      <c r="J364" s="254"/>
      <c r="K364" s="254"/>
      <c r="L364" s="254"/>
      <c r="M364" s="254"/>
      <c r="N364" s="254"/>
      <c r="O364" s="254"/>
      <c r="P364" s="254"/>
      <c r="Q364" s="254"/>
      <c r="R364" s="254"/>
      <c r="S364" s="254"/>
      <c r="T364" s="254"/>
      <c r="U364" s="254"/>
    </row>
    <row r="365" spans="2:21">
      <c r="B365" s="258"/>
      <c r="C365" s="259"/>
      <c r="D365" s="254"/>
      <c r="E365" s="254"/>
      <c r="F365" s="254"/>
      <c r="G365" s="254"/>
      <c r="H365" s="254"/>
      <c r="I365" s="254"/>
      <c r="J365" s="254"/>
      <c r="K365" s="254"/>
      <c r="L365" s="254"/>
      <c r="M365" s="254"/>
      <c r="N365" s="254"/>
      <c r="O365" s="254"/>
      <c r="P365" s="254"/>
      <c r="Q365" s="254"/>
      <c r="R365" s="254"/>
      <c r="S365" s="254"/>
      <c r="T365" s="254"/>
      <c r="U365" s="254"/>
    </row>
    <row r="366" spans="2:21">
      <c r="B366" s="376" t="s">
        <v>354</v>
      </c>
      <c r="C366" s="323"/>
      <c r="D366" s="254" t="s">
        <v>1090</v>
      </c>
      <c r="M366" s="254"/>
      <c r="N366" s="254"/>
      <c r="O366" s="254"/>
      <c r="P366" s="254"/>
      <c r="Q366" s="254"/>
      <c r="R366" s="254"/>
      <c r="S366" s="254"/>
      <c r="T366" s="254"/>
      <c r="U366" s="254"/>
    </row>
    <row r="367" spans="2:21">
      <c r="D367" s="254" t="s">
        <v>1091</v>
      </c>
      <c r="M367" s="254"/>
      <c r="N367" s="254"/>
      <c r="O367" s="254"/>
      <c r="P367" s="254"/>
      <c r="Q367" s="254"/>
      <c r="R367" s="254"/>
      <c r="S367" s="254"/>
      <c r="T367" s="254"/>
      <c r="U367" s="254"/>
    </row>
    <row r="368" spans="2:21" ht="15" customHeight="1">
      <c r="D368" s="1220" t="s">
        <v>1092</v>
      </c>
      <c r="E368" s="1220"/>
      <c r="F368" s="1220"/>
      <c r="G368" s="1220"/>
      <c r="H368" s="1220"/>
      <c r="I368" s="1220"/>
      <c r="J368" s="1220"/>
      <c r="K368" s="1220"/>
      <c r="L368" s="1220"/>
      <c r="M368" s="254"/>
      <c r="N368" s="254"/>
      <c r="O368" s="254"/>
      <c r="P368" s="254"/>
      <c r="Q368" s="254"/>
      <c r="R368" s="254"/>
      <c r="S368" s="254"/>
      <c r="T368" s="254"/>
      <c r="U368" s="254"/>
    </row>
    <row r="369" spans="2:21">
      <c r="D369" s="1220"/>
      <c r="E369" s="1220"/>
      <c r="F369" s="1220"/>
      <c r="G369" s="1220"/>
      <c r="H369" s="1220"/>
      <c r="I369" s="1220"/>
      <c r="J369" s="1220"/>
      <c r="K369" s="1220"/>
      <c r="L369" s="1220"/>
      <c r="M369" s="254"/>
      <c r="N369" s="254"/>
      <c r="O369" s="254"/>
      <c r="P369" s="254"/>
      <c r="Q369" s="254"/>
      <c r="R369" s="254"/>
      <c r="S369" s="254"/>
      <c r="T369" s="254"/>
      <c r="U369" s="254"/>
    </row>
    <row r="370" spans="2:21" ht="14.25" customHeight="1">
      <c r="D370" s="1220"/>
      <c r="E370" s="1220"/>
      <c r="F370" s="1220"/>
      <c r="G370" s="1220"/>
      <c r="H370" s="1220"/>
      <c r="I370" s="1220"/>
      <c r="J370" s="1220"/>
      <c r="K370" s="1220"/>
      <c r="L370" s="1220"/>
      <c r="M370" s="254"/>
      <c r="N370" s="254"/>
      <c r="O370" s="254"/>
      <c r="P370" s="254"/>
      <c r="Q370" s="254"/>
      <c r="R370" s="254"/>
      <c r="S370" s="254"/>
      <c r="T370" s="254"/>
      <c r="U370" s="254"/>
    </row>
    <row r="371" spans="2:21" ht="15" hidden="1" customHeight="1">
      <c r="D371" s="1220"/>
      <c r="E371" s="1220"/>
      <c r="F371" s="1220"/>
      <c r="G371" s="1220"/>
      <c r="H371" s="1220"/>
      <c r="I371" s="1220"/>
      <c r="J371" s="1220"/>
      <c r="K371" s="1220"/>
      <c r="L371" s="1220"/>
      <c r="M371" s="254"/>
      <c r="N371" s="254"/>
      <c r="O371" s="254"/>
      <c r="P371" s="254"/>
      <c r="Q371" s="254"/>
      <c r="R371" s="254"/>
      <c r="S371" s="254"/>
      <c r="T371" s="254"/>
      <c r="U371" s="254"/>
    </row>
    <row r="372" spans="2:21" ht="15" hidden="1" customHeight="1">
      <c r="D372" s="1220"/>
      <c r="E372" s="1220"/>
      <c r="F372" s="1220"/>
      <c r="G372" s="1220"/>
      <c r="H372" s="1220"/>
      <c r="I372" s="1220"/>
      <c r="J372" s="1220"/>
      <c r="K372" s="1220"/>
      <c r="L372" s="1220"/>
      <c r="M372" s="254"/>
      <c r="N372" s="254"/>
      <c r="O372" s="254"/>
      <c r="P372" s="254"/>
      <c r="Q372" s="254"/>
      <c r="R372" s="254"/>
      <c r="S372" s="254"/>
      <c r="T372" s="254"/>
      <c r="U372" s="254"/>
    </row>
    <row r="373" spans="2:21" ht="15" hidden="1" customHeight="1">
      <c r="D373" s="1220"/>
      <c r="E373" s="1220"/>
      <c r="F373" s="1220"/>
      <c r="G373" s="1220"/>
      <c r="H373" s="1220"/>
      <c r="I373" s="1220"/>
      <c r="J373" s="1220"/>
      <c r="K373" s="1220"/>
      <c r="L373" s="1220"/>
      <c r="M373" s="254"/>
      <c r="N373" s="254"/>
      <c r="O373" s="254"/>
      <c r="P373" s="254"/>
      <c r="Q373" s="254"/>
      <c r="R373" s="254"/>
      <c r="S373" s="254"/>
      <c r="T373" s="254"/>
      <c r="U373" s="254"/>
    </row>
    <row r="374" spans="2:21">
      <c r="B374" s="258" t="s">
        <v>427</v>
      </c>
      <c r="C374" s="259"/>
      <c r="D374" s="379" t="s">
        <v>35</v>
      </c>
      <c r="E374" s="379"/>
      <c r="F374" s="379"/>
      <c r="G374" s="379"/>
      <c r="H374" s="379"/>
      <c r="I374" s="379"/>
      <c r="J374" s="379"/>
      <c r="M374" s="254"/>
      <c r="N374" s="254"/>
      <c r="O374" s="254"/>
      <c r="P374" s="254"/>
      <c r="Q374" s="254"/>
      <c r="R374" s="254"/>
      <c r="S374" s="254"/>
      <c r="T374" s="254"/>
      <c r="U374" s="254"/>
    </row>
    <row r="375" spans="2:21">
      <c r="B375" s="258"/>
      <c r="C375" s="259"/>
      <c r="D375" s="379" t="str">
        <f>"This total balance of $265,249,280 at 12/31/12 is not included in the balance in line "&amp;B271&amp;" above."</f>
        <v>This total balance of $265,249,280 at 12/31/12 is not included in the balance in line 154 above.</v>
      </c>
      <c r="E375" s="379"/>
      <c r="F375" s="379"/>
      <c r="G375" s="379"/>
      <c r="H375" s="379"/>
      <c r="I375" s="379"/>
      <c r="J375" s="379"/>
      <c r="M375" s="254"/>
      <c r="N375" s="254"/>
      <c r="O375" s="254"/>
      <c r="P375" s="254"/>
      <c r="Q375" s="254"/>
      <c r="R375" s="254"/>
      <c r="S375" s="254"/>
      <c r="T375" s="254"/>
      <c r="U375" s="254"/>
    </row>
    <row r="376" spans="2:21">
      <c r="B376" s="258"/>
      <c r="C376" s="259"/>
      <c r="D376" s="1218" t="s">
        <v>584</v>
      </c>
      <c r="E376" s="1218"/>
      <c r="F376" s="1218"/>
      <c r="G376" s="1218"/>
      <c r="H376" s="1218"/>
      <c r="I376" s="1218"/>
      <c r="J376" s="1218"/>
      <c r="K376" s="1218"/>
      <c r="L376" s="1218"/>
      <c r="M376" s="254"/>
      <c r="N376" s="254"/>
      <c r="O376" s="254"/>
      <c r="P376" s="254"/>
      <c r="Q376" s="254"/>
      <c r="R376" s="254"/>
      <c r="S376" s="254"/>
      <c r="T376" s="254"/>
      <c r="U376" s="254"/>
    </row>
    <row r="377" spans="2:21">
      <c r="B377" s="258"/>
      <c r="C377" s="259"/>
      <c r="D377" s="1218"/>
      <c r="E377" s="1218"/>
      <c r="F377" s="1218"/>
      <c r="G377" s="1218"/>
      <c r="H377" s="1218"/>
      <c r="I377" s="1218"/>
      <c r="J377" s="1218"/>
      <c r="K377" s="1218"/>
      <c r="L377" s="1218"/>
      <c r="M377" s="254"/>
      <c r="N377" s="254"/>
      <c r="O377" s="254"/>
      <c r="P377" s="254"/>
      <c r="Q377" s="254"/>
      <c r="R377" s="254"/>
      <c r="S377" s="254"/>
      <c r="T377" s="254"/>
      <c r="U377" s="254"/>
    </row>
    <row r="378" spans="2:21">
      <c r="B378" s="258"/>
      <c r="C378" s="259"/>
      <c r="D378" s="1218"/>
      <c r="E378" s="1218"/>
      <c r="F378" s="1218"/>
      <c r="G378" s="1218"/>
      <c r="H378" s="1218"/>
      <c r="I378" s="1218"/>
      <c r="J378" s="1218"/>
      <c r="K378" s="1218"/>
      <c r="L378" s="1218"/>
      <c r="M378" s="254"/>
      <c r="N378" s="254"/>
      <c r="O378" s="254"/>
      <c r="P378" s="254"/>
      <c r="Q378" s="254"/>
      <c r="R378" s="254"/>
      <c r="S378" s="254"/>
      <c r="T378" s="254"/>
      <c r="U378" s="254"/>
    </row>
    <row r="379" spans="2:21">
      <c r="B379" s="258" t="s">
        <v>495</v>
      </c>
      <c r="C379" s="384"/>
      <c r="D379" s="1218" t="s">
        <v>752</v>
      </c>
      <c r="E379" s="1218"/>
      <c r="F379" s="1218"/>
      <c r="G379" s="1218"/>
      <c r="H379" s="1218"/>
      <c r="I379" s="1218"/>
      <c r="J379" s="1218"/>
      <c r="K379" s="1218"/>
      <c r="L379" s="1218"/>
      <c r="M379" s="254"/>
      <c r="N379" s="254"/>
      <c r="O379" s="254"/>
      <c r="P379" s="254"/>
      <c r="Q379" s="254"/>
      <c r="R379" s="254"/>
      <c r="S379" s="254"/>
      <c r="T379" s="254"/>
      <c r="U379" s="254"/>
    </row>
    <row r="380" spans="2:21" ht="64.5" customHeight="1">
      <c r="B380" s="258"/>
      <c r="C380" s="259"/>
      <c r="D380" s="1218"/>
      <c r="E380" s="1218"/>
      <c r="F380" s="1218"/>
      <c r="G380" s="1218"/>
      <c r="H380" s="1218"/>
      <c r="I380" s="1218"/>
      <c r="J380" s="1218"/>
      <c r="K380" s="1218"/>
      <c r="L380" s="1218"/>
      <c r="M380" s="254"/>
      <c r="N380" s="254"/>
      <c r="O380" s="254"/>
      <c r="P380" s="254"/>
      <c r="Q380" s="254"/>
      <c r="R380" s="254"/>
      <c r="S380" s="254"/>
      <c r="T380" s="254"/>
      <c r="U380" s="254"/>
    </row>
    <row r="381" spans="2:21">
      <c r="B381" s="258" t="s">
        <v>586</v>
      </c>
      <c r="C381" s="259"/>
      <c r="D381" s="1218" t="s">
        <v>585</v>
      </c>
      <c r="E381" s="1218"/>
      <c r="F381" s="1218"/>
      <c r="G381" s="1218"/>
      <c r="H381" s="1218"/>
      <c r="I381" s="1218"/>
      <c r="J381" s="1218"/>
      <c r="K381" s="1218"/>
      <c r="L381" s="1218"/>
      <c r="M381" s="254"/>
      <c r="N381" s="254"/>
      <c r="O381" s="254"/>
      <c r="P381" s="254"/>
      <c r="Q381" s="254"/>
      <c r="R381" s="254"/>
      <c r="S381" s="254"/>
      <c r="T381" s="254"/>
      <c r="U381" s="254"/>
    </row>
    <row r="382" spans="2:21">
      <c r="B382" s="258"/>
      <c r="C382" s="259"/>
      <c r="D382" s="1218"/>
      <c r="E382" s="1218"/>
      <c r="F382" s="1218"/>
      <c r="G382" s="1218"/>
      <c r="H382" s="1218"/>
      <c r="I382" s="1218"/>
      <c r="J382" s="1218"/>
      <c r="K382" s="1218"/>
      <c r="L382" s="1218"/>
      <c r="M382" s="254"/>
      <c r="N382" s="254"/>
      <c r="O382" s="254"/>
      <c r="P382" s="254"/>
      <c r="Q382" s="254"/>
      <c r="R382" s="254"/>
      <c r="S382" s="254"/>
      <c r="T382" s="254"/>
      <c r="U382" s="254"/>
    </row>
    <row r="383" spans="2:21">
      <c r="B383" s="258" t="s">
        <v>588</v>
      </c>
      <c r="C383" s="259"/>
      <c r="D383" s="1223" t="s">
        <v>589</v>
      </c>
      <c r="E383" s="1223"/>
      <c r="F383" s="1223"/>
      <c r="G383" s="1223"/>
      <c r="H383" s="1223"/>
      <c r="I383" s="1223"/>
      <c r="J383" s="1223"/>
      <c r="K383" s="1223"/>
      <c r="L383" s="1223"/>
      <c r="M383" s="254"/>
      <c r="N383" s="254"/>
      <c r="O383" s="254"/>
      <c r="P383" s="254"/>
      <c r="Q383" s="254"/>
      <c r="R383" s="254"/>
      <c r="S383" s="254"/>
      <c r="T383" s="254"/>
      <c r="U383" s="254"/>
    </row>
    <row r="384" spans="2:21">
      <c r="B384" s="258" t="s">
        <v>587</v>
      </c>
      <c r="C384" s="259"/>
      <c r="D384" s="1218" t="s">
        <v>590</v>
      </c>
      <c r="E384" s="1218"/>
      <c r="F384" s="1218"/>
      <c r="G384" s="1218"/>
      <c r="H384" s="1218"/>
      <c r="I384" s="1218"/>
      <c r="J384" s="1218"/>
      <c r="K384" s="1218"/>
      <c r="L384" s="1218"/>
      <c r="M384" s="254"/>
      <c r="N384" s="254"/>
      <c r="O384" s="254"/>
      <c r="P384" s="254"/>
      <c r="Q384" s="254"/>
      <c r="R384" s="254"/>
      <c r="S384" s="254"/>
      <c r="T384" s="254"/>
      <c r="U384" s="254"/>
    </row>
    <row r="385" spans="2:21">
      <c r="B385" s="258"/>
      <c r="C385" s="259"/>
      <c r="D385" s="1218"/>
      <c r="E385" s="1218"/>
      <c r="F385" s="1218"/>
      <c r="G385" s="1218"/>
      <c r="H385" s="1218"/>
      <c r="I385" s="1218"/>
      <c r="J385" s="1218"/>
      <c r="K385" s="1218"/>
      <c r="L385" s="1218"/>
      <c r="M385" s="254"/>
      <c r="N385" s="254"/>
      <c r="O385" s="254"/>
      <c r="P385" s="254"/>
      <c r="Q385" s="254"/>
      <c r="R385" s="254"/>
      <c r="S385" s="254"/>
      <c r="T385" s="254"/>
      <c r="U385" s="254"/>
    </row>
    <row r="386" spans="2:21">
      <c r="B386"/>
      <c r="C386"/>
      <c r="D386" s="1218"/>
      <c r="E386" s="1218"/>
      <c r="F386" s="1218"/>
      <c r="G386" s="1218"/>
      <c r="H386" s="1218"/>
      <c r="I386" s="1218"/>
      <c r="J386" s="1218"/>
      <c r="K386" s="1218"/>
      <c r="L386" s="1218"/>
      <c r="M386" s="254"/>
      <c r="N386" s="254"/>
      <c r="O386" s="254"/>
      <c r="P386" s="254"/>
      <c r="Q386" s="254"/>
      <c r="R386" s="254"/>
      <c r="S386" s="254"/>
      <c r="T386" s="254"/>
      <c r="U386" s="254"/>
    </row>
    <row r="387" spans="2:21" ht="18" customHeight="1">
      <c r="B387" s="30" t="s">
        <v>624</v>
      </c>
      <c r="C387" s="831"/>
      <c r="D387" s="2" t="s">
        <v>856</v>
      </c>
      <c r="E387" s="4"/>
      <c r="F387" s="4"/>
      <c r="G387" s="4"/>
      <c r="H387"/>
      <c r="M387" s="254"/>
      <c r="N387" s="254"/>
      <c r="O387" s="254"/>
      <c r="P387" s="254"/>
      <c r="Q387" s="254"/>
      <c r="R387" s="254"/>
      <c r="S387" s="254"/>
      <c r="T387" s="254"/>
      <c r="U387" s="254"/>
    </row>
    <row r="388" spans="2:21">
      <c r="B388"/>
      <c r="C388"/>
      <c r="D388"/>
      <c r="E388"/>
      <c r="F388"/>
      <c r="G388"/>
      <c r="H388"/>
      <c r="M388" s="254"/>
      <c r="N388" s="254"/>
      <c r="O388" s="254"/>
      <c r="P388" s="254"/>
      <c r="Q388" s="254"/>
      <c r="R388" s="254"/>
      <c r="S388" s="254"/>
      <c r="T388" s="254"/>
      <c r="U388" s="254"/>
    </row>
    <row r="389" spans="2:21">
      <c r="B389" s="30" t="s">
        <v>946</v>
      </c>
      <c r="C389"/>
      <c r="D389" s="1216" t="s">
        <v>947</v>
      </c>
      <c r="E389" s="1216"/>
      <c r="F389" s="1216"/>
      <c r="G389" s="1216"/>
      <c r="H389" s="1216"/>
      <c r="I389" s="1216"/>
      <c r="J389" s="1216"/>
      <c r="K389" s="1216"/>
      <c r="L389" s="1216"/>
      <c r="M389" s="254"/>
      <c r="N389" s="254"/>
      <c r="O389" s="254"/>
      <c r="P389" s="254"/>
      <c r="Q389" s="254"/>
      <c r="R389" s="254"/>
      <c r="S389" s="254"/>
      <c r="T389" s="254"/>
      <c r="U389" s="254"/>
    </row>
    <row r="390" spans="2:21">
      <c r="B390"/>
      <c r="C390"/>
      <c r="D390" s="1216"/>
      <c r="E390" s="1216"/>
      <c r="F390" s="1216"/>
      <c r="G390" s="1216"/>
      <c r="H390" s="1216"/>
      <c r="I390" s="1216"/>
      <c r="J390" s="1216"/>
      <c r="K390" s="1216"/>
      <c r="L390" s="1216"/>
      <c r="M390" s="254"/>
      <c r="N390" s="254"/>
      <c r="O390" s="254"/>
      <c r="P390" s="254"/>
      <c r="Q390" s="254"/>
      <c r="R390" s="254"/>
      <c r="S390" s="254"/>
      <c r="T390" s="254"/>
      <c r="U390" s="254"/>
    </row>
    <row r="391" spans="2:21">
      <c r="B391" s="376" t="s">
        <v>1410</v>
      </c>
      <c r="D391" s="250" t="s">
        <v>1411</v>
      </c>
      <c r="E391"/>
      <c r="F391"/>
      <c r="G391"/>
      <c r="H391"/>
      <c r="M391" s="254"/>
      <c r="N391" s="254"/>
      <c r="O391" s="254"/>
      <c r="P391" s="254"/>
      <c r="Q391" s="254"/>
      <c r="R391" s="254"/>
      <c r="S391" s="254"/>
      <c r="T391" s="254"/>
      <c r="U391" s="254"/>
    </row>
    <row r="392" spans="2:21">
      <c r="E392"/>
      <c r="F392"/>
      <c r="G392"/>
      <c r="H392"/>
      <c r="M392" s="254"/>
      <c r="N392" s="254"/>
      <c r="O392" s="254"/>
      <c r="P392" s="254"/>
      <c r="Q392" s="254"/>
      <c r="R392" s="254"/>
      <c r="S392" s="254"/>
      <c r="T392" s="254"/>
      <c r="U392" s="254"/>
    </row>
    <row r="393" spans="2:21">
      <c r="B393" s="376" t="s">
        <v>1412</v>
      </c>
      <c r="D393" s="250" t="s">
        <v>1413</v>
      </c>
    </row>
  </sheetData>
  <mergeCells count="26">
    <mergeCell ref="D389:L390"/>
    <mergeCell ref="G269:I269"/>
    <mergeCell ref="D384:L386"/>
    <mergeCell ref="D296:L296"/>
    <mergeCell ref="D308:L308"/>
    <mergeCell ref="D304:L305"/>
    <mergeCell ref="D339:L342"/>
    <mergeCell ref="D368:L373"/>
    <mergeCell ref="D376:L378"/>
    <mergeCell ref="D323:K325"/>
    <mergeCell ref="D379:L380"/>
    <mergeCell ref="D381:L382"/>
    <mergeCell ref="D383:L383"/>
    <mergeCell ref="D299:K300"/>
    <mergeCell ref="D336:K337"/>
    <mergeCell ref="D326:J327"/>
    <mergeCell ref="D344:L346"/>
    <mergeCell ref="D332:J334"/>
    <mergeCell ref="D319:K321"/>
    <mergeCell ref="E185:E186"/>
    <mergeCell ref="B24:I25"/>
    <mergeCell ref="I60:J60"/>
    <mergeCell ref="I63:J63"/>
    <mergeCell ref="I140:J140"/>
    <mergeCell ref="I143:J143"/>
    <mergeCell ref="D42:L42"/>
  </mergeCells>
  <phoneticPr fontId="0" type="noConversion"/>
  <pageMargins left="0.26" right="0.37" top="1" bottom="1" header="0.86" footer="0.5"/>
  <pageSetup scale="36" fitToHeight="5" orientation="portrait" r:id="rId1"/>
  <headerFooter alignWithMargins="0">
    <oddHeader>&amp;R&amp;"Arial,Bold"Formula Rate 
&amp;A
Page &amp;P of &amp;N</oddHeader>
  </headerFooter>
  <rowBreaks count="4" manualBreakCount="4">
    <brk id="51" max="11" man="1"/>
    <brk id="132" max="11" man="1"/>
    <brk id="222" max="11" man="1"/>
    <brk id="276" max="11"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V151"/>
  <sheetViews>
    <sheetView tabSelected="1" view="pageBreakPreview" topLeftCell="A8" zoomScaleNormal="100" zoomScaleSheetLayoutView="100" workbookViewId="0">
      <selection activeCell="D9" sqref="D9"/>
    </sheetView>
  </sheetViews>
  <sheetFormatPr defaultColWidth="9.140625" defaultRowHeight="15"/>
  <cols>
    <col min="1" max="1" width="9.42578125" style="389" customWidth="1"/>
    <col min="2" max="2" width="6.5703125" style="389" customWidth="1"/>
    <col min="3" max="8" width="14.5703125" style="389" customWidth="1"/>
    <col min="9" max="9" width="14.85546875" style="389" bestFit="1" customWidth="1"/>
    <col min="10" max="11" width="16.5703125" style="389" bestFit="1" customWidth="1"/>
    <col min="12" max="13" width="22.140625" style="389" bestFit="1" customWidth="1"/>
    <col min="14" max="14" width="8.42578125" style="389" customWidth="1"/>
    <col min="15" max="38" width="12.5703125" style="389" customWidth="1"/>
    <col min="39" max="16384" width="9.140625" style="389"/>
  </cols>
  <sheetData>
    <row r="1" spans="1:22" ht="15.75">
      <c r="A1" s="669" t="s">
        <v>115</v>
      </c>
    </row>
    <row r="2" spans="1:22" ht="15.75">
      <c r="A2" s="669" t="s">
        <v>115</v>
      </c>
    </row>
    <row r="3" spans="1:22">
      <c r="A3" s="1230" t="str">
        <f>+'WS C  - Working Capital'!A3:L3</f>
        <v>AEP East Companies</v>
      </c>
      <c r="B3" s="1230"/>
      <c r="C3" s="1230"/>
      <c r="D3" s="1230"/>
      <c r="E3" s="1230"/>
      <c r="F3" s="1230"/>
      <c r="G3" s="1230"/>
      <c r="H3" s="1230"/>
      <c r="I3" s="1230"/>
      <c r="J3" s="1230"/>
      <c r="K3" s="1230"/>
      <c r="L3" s="30"/>
      <c r="M3" s="30"/>
      <c r="N3" s="30"/>
      <c r="O3" s="30"/>
    </row>
    <row r="4" spans="1:22">
      <c r="A4" s="1231" t="str">
        <f>"Cost of Service Formula Rate Using Actual/Projected FF1 Balances"</f>
        <v>Cost of Service Formula Rate Using Actual/Projected FF1 Balances</v>
      </c>
      <c r="B4" s="1231"/>
      <c r="C4" s="1231"/>
      <c r="D4" s="1231"/>
      <c r="E4" s="1231"/>
      <c r="F4" s="1231"/>
      <c r="G4" s="1231"/>
      <c r="H4" s="1231"/>
      <c r="I4" s="1231"/>
      <c r="J4" s="1231"/>
      <c r="K4" s="1231"/>
      <c r="L4" s="78"/>
      <c r="M4" s="78"/>
      <c r="N4" s="78"/>
      <c r="O4" s="78"/>
    </row>
    <row r="5" spans="1:22">
      <c r="A5" s="1231" t="s">
        <v>238</v>
      </c>
      <c r="B5" s="1231"/>
      <c r="C5" s="1231"/>
      <c r="D5" s="1231"/>
      <c r="E5" s="1231"/>
      <c r="F5" s="1231"/>
      <c r="G5" s="1231"/>
      <c r="H5" s="1231"/>
      <c r="I5" s="1231"/>
      <c r="J5" s="1231"/>
      <c r="K5" s="1231"/>
      <c r="L5" s="77"/>
      <c r="M5" s="77"/>
      <c r="N5" s="77"/>
      <c r="O5" s="77"/>
    </row>
    <row r="6" spans="1:22">
      <c r="A6" s="1239" t="str">
        <f>TCOS!F9</f>
        <v xml:space="preserve">Indiana Michigan Power Company </v>
      </c>
      <c r="B6" s="1239"/>
      <c r="C6" s="1239"/>
      <c r="D6" s="1239"/>
      <c r="E6" s="1239"/>
      <c r="F6" s="1239"/>
      <c r="G6" s="1239"/>
      <c r="H6" s="1239"/>
      <c r="I6" s="1239"/>
      <c r="J6" s="1239"/>
      <c r="K6" s="1239"/>
      <c r="L6" s="3"/>
      <c r="M6" s="3"/>
      <c r="N6" s="3"/>
      <c r="O6" s="3"/>
    </row>
    <row r="8" spans="1:22" ht="18">
      <c r="A8" s="1262"/>
      <c r="B8" s="1262"/>
      <c r="C8" s="1262"/>
      <c r="D8" s="1262"/>
      <c r="E8" s="1262"/>
      <c r="F8" s="1262"/>
      <c r="G8" s="1262"/>
      <c r="H8" s="1262"/>
      <c r="I8" s="1262"/>
      <c r="J8" s="1262"/>
      <c r="K8" s="1262"/>
      <c r="L8" s="390"/>
      <c r="M8" s="391"/>
    </row>
    <row r="9" spans="1:22" ht="18">
      <c r="A9" s="129"/>
      <c r="B9" s="129"/>
      <c r="C9" s="129"/>
      <c r="D9" s="129"/>
      <c r="E9" s="129"/>
      <c r="F9" s="129"/>
      <c r="G9" s="129"/>
      <c r="H9" s="129"/>
      <c r="I9" s="129"/>
      <c r="J9" s="129"/>
      <c r="K9" s="129"/>
      <c r="L9" s="390"/>
      <c r="M9" s="391"/>
    </row>
    <row r="10" spans="1:22" ht="15.75">
      <c r="A10" s="392" t="s">
        <v>170</v>
      </c>
      <c r="B10" s="390"/>
      <c r="C10" s="29"/>
      <c r="D10" s="29"/>
      <c r="E10" s="29"/>
      <c r="F10" s="29"/>
      <c r="G10" s="393"/>
      <c r="H10" s="393"/>
      <c r="I10" s="392" t="s">
        <v>183</v>
      </c>
      <c r="J10" s="392" t="s">
        <v>28</v>
      </c>
      <c r="K10" s="394"/>
      <c r="N10" s="395"/>
      <c r="P10" s="395"/>
      <c r="R10" s="395"/>
      <c r="S10" s="395"/>
      <c r="T10" s="395"/>
      <c r="U10" s="2"/>
      <c r="V10" s="2"/>
    </row>
    <row r="11" spans="1:22" ht="15.75">
      <c r="A11" s="392" t="s">
        <v>107</v>
      </c>
      <c r="B11" s="1263" t="s">
        <v>168</v>
      </c>
      <c r="C11" s="1263"/>
      <c r="D11" s="1263"/>
      <c r="E11" s="1263"/>
      <c r="F11" s="1263"/>
      <c r="G11" s="1263"/>
      <c r="H11" s="1263"/>
      <c r="I11" s="392" t="s">
        <v>184</v>
      </c>
      <c r="J11" s="392" t="s">
        <v>116</v>
      </c>
      <c r="K11" s="392" t="s">
        <v>116</v>
      </c>
      <c r="N11" s="395"/>
      <c r="O11" s="395"/>
      <c r="P11" s="395"/>
      <c r="Q11" s="395"/>
      <c r="R11" s="395"/>
      <c r="S11" s="395"/>
      <c r="T11" s="396"/>
      <c r="U11" s="2"/>
      <c r="V11" s="2"/>
    </row>
    <row r="12" spans="1:22" ht="15.75">
      <c r="A12" s="393"/>
      <c r="B12" s="397"/>
      <c r="C12" s="390"/>
      <c r="D12" s="393"/>
      <c r="E12" s="393"/>
      <c r="F12" s="393"/>
      <c r="G12" s="393"/>
      <c r="H12" s="393"/>
      <c r="I12" s="393"/>
      <c r="J12" s="393"/>
      <c r="K12" s="398"/>
      <c r="N12" s="395"/>
      <c r="O12" s="395"/>
      <c r="P12" s="395"/>
      <c r="Q12" s="395"/>
      <c r="R12" s="395"/>
      <c r="S12" s="395"/>
      <c r="T12" s="396"/>
      <c r="U12" s="2"/>
      <c r="V12" s="2"/>
    </row>
    <row r="13" spans="1:22" s="403" customFormat="1" ht="12.75">
      <c r="A13" s="399">
        <v>1</v>
      </c>
      <c r="B13" s="400" t="s">
        <v>483</v>
      </c>
      <c r="C13" s="4"/>
      <c r="D13" s="401"/>
      <c r="E13" s="401"/>
      <c r="F13" s="401"/>
      <c r="G13" s="401"/>
      <c r="H13" s="401"/>
      <c r="I13" s="634">
        <v>6971761.5700000003</v>
      </c>
      <c r="J13" s="402">
        <f>+I13-K12</f>
        <v>6971761.5700000003</v>
      </c>
      <c r="K13" s="634">
        <v>0</v>
      </c>
      <c r="N13" s="4"/>
      <c r="O13" s="4"/>
      <c r="P13" s="4"/>
      <c r="Q13" s="4"/>
      <c r="R13" s="4"/>
      <c r="S13" s="4"/>
      <c r="T13" s="82"/>
      <c r="U13" s="4"/>
      <c r="V13" s="4"/>
    </row>
    <row r="14" spans="1:22" s="403" customFormat="1" ht="12.75">
      <c r="A14" s="404"/>
      <c r="B14" s="405"/>
      <c r="C14" s="406"/>
      <c r="D14" s="407"/>
      <c r="E14" s="407"/>
      <c r="F14" s="407"/>
      <c r="G14" s="407"/>
      <c r="H14" s="401"/>
      <c r="I14" s="408"/>
      <c r="J14" s="401"/>
      <c r="K14" s="408"/>
      <c r="N14" s="4"/>
      <c r="O14" s="4"/>
      <c r="P14" s="4"/>
      <c r="Q14" s="4"/>
      <c r="R14" s="4"/>
      <c r="S14" s="4"/>
      <c r="T14" s="82"/>
      <c r="U14" s="4"/>
      <c r="V14" s="4"/>
    </row>
    <row r="15" spans="1:22" s="403" customFormat="1" ht="12.75">
      <c r="A15" s="399">
        <f>+A13+1</f>
        <v>2</v>
      </c>
      <c r="B15" s="400" t="s">
        <v>484</v>
      </c>
      <c r="C15" s="4"/>
      <c r="D15" s="401"/>
      <c r="E15" s="401"/>
      <c r="F15" s="401"/>
      <c r="G15" s="401"/>
      <c r="H15" s="401"/>
      <c r="I15" s="634">
        <v>903645.91</v>
      </c>
      <c r="J15" s="402">
        <f>+I15-K15</f>
        <v>903645.91</v>
      </c>
      <c r="K15" s="634">
        <v>0</v>
      </c>
      <c r="N15" s="4"/>
      <c r="O15" s="4"/>
      <c r="P15" s="4"/>
      <c r="Q15" s="4"/>
      <c r="R15" s="4"/>
      <c r="S15" s="4"/>
      <c r="T15" s="4"/>
      <c r="U15" s="4"/>
      <c r="V15" s="4"/>
    </row>
    <row r="16" spans="1:22" s="403" customFormat="1" ht="12.75">
      <c r="A16" s="404"/>
      <c r="B16" s="405"/>
      <c r="C16" s="406"/>
      <c r="D16" s="407"/>
      <c r="E16" s="407"/>
      <c r="F16" s="407"/>
      <c r="G16" s="407"/>
      <c r="H16" s="401"/>
      <c r="I16" s="401"/>
      <c r="J16" s="401"/>
      <c r="K16" s="401"/>
      <c r="N16" s="4"/>
      <c r="O16" s="4"/>
      <c r="P16" s="4"/>
      <c r="Q16" s="4"/>
      <c r="R16" s="4"/>
      <c r="S16" s="4"/>
      <c r="T16" s="4"/>
      <c r="U16" s="4"/>
      <c r="V16" s="4"/>
    </row>
    <row r="17" spans="1:22" s="403" customFormat="1" ht="12.75">
      <c r="A17" s="399">
        <f>+A15+1</f>
        <v>3</v>
      </c>
      <c r="B17" s="400" t="s">
        <v>485</v>
      </c>
      <c r="C17" s="4"/>
      <c r="D17" s="401"/>
      <c r="E17" s="401"/>
      <c r="F17" s="401"/>
      <c r="G17" s="401"/>
      <c r="H17" s="401"/>
      <c r="I17" s="634">
        <v>19144151.522</v>
      </c>
      <c r="J17" s="402">
        <f>+I17-K17</f>
        <v>8949666.2620000001</v>
      </c>
      <c r="K17" s="634">
        <v>10194485.26</v>
      </c>
      <c r="N17" s="4"/>
      <c r="O17" s="4"/>
      <c r="P17" s="4"/>
      <c r="Q17" s="4"/>
      <c r="R17" s="4"/>
      <c r="S17" s="4"/>
      <c r="T17" s="4"/>
      <c r="U17" s="4"/>
      <c r="V17" s="4"/>
    </row>
    <row r="18" spans="1:22" s="403" customFormat="1" ht="12.75">
      <c r="A18" s="404"/>
      <c r="B18" s="401"/>
      <c r="C18" s="4"/>
      <c r="D18" s="401"/>
      <c r="E18" s="401"/>
      <c r="F18" s="401"/>
      <c r="G18" s="409"/>
      <c r="H18" s="401"/>
      <c r="I18" s="401"/>
      <c r="J18" s="401"/>
      <c r="K18" s="401"/>
      <c r="N18" s="4"/>
      <c r="O18" s="4"/>
      <c r="P18" s="4"/>
      <c r="Q18" s="4"/>
      <c r="R18" s="4"/>
      <c r="S18" s="4"/>
      <c r="T18" s="4"/>
      <c r="U18" s="4"/>
      <c r="V18" s="4"/>
    </row>
    <row r="19" spans="1:22" s="403" customFormat="1" ht="12.75">
      <c r="A19" s="399">
        <f>+A17+1</f>
        <v>4</v>
      </c>
      <c r="B19" s="400" t="s">
        <v>755</v>
      </c>
      <c r="C19" s="4"/>
      <c r="D19" s="401"/>
      <c r="E19" s="401"/>
      <c r="F19" s="401"/>
      <c r="G19" s="409"/>
      <c r="H19" s="401"/>
      <c r="I19" s="634">
        <v>3946963.14</v>
      </c>
      <c r="J19" s="402">
        <f>+I19-K19</f>
        <v>3408243.02</v>
      </c>
      <c r="K19" s="634">
        <v>538720.12</v>
      </c>
      <c r="N19" s="411"/>
      <c r="O19" s="4"/>
      <c r="P19" s="4"/>
      <c r="Q19" s="4"/>
      <c r="R19" s="4"/>
      <c r="S19" s="4"/>
      <c r="T19" s="4"/>
      <c r="U19" s="4"/>
      <c r="V19" s="4"/>
    </row>
    <row r="20" spans="1:22" s="403" customFormat="1" ht="12.75">
      <c r="A20" s="404"/>
      <c r="B20" s="400"/>
      <c r="C20" s="4"/>
      <c r="D20" s="401"/>
      <c r="E20" s="401"/>
      <c r="F20" s="401"/>
      <c r="G20" s="409"/>
      <c r="H20" s="401"/>
      <c r="I20" s="4"/>
      <c r="J20" s="4"/>
      <c r="K20" s="4"/>
      <c r="L20" s="4"/>
      <c r="N20" s="411"/>
      <c r="O20" s="4"/>
      <c r="P20" s="4"/>
      <c r="Q20" s="4"/>
      <c r="R20" s="4"/>
      <c r="S20" s="4"/>
      <c r="T20" s="4"/>
      <c r="U20" s="4"/>
      <c r="V20" s="4"/>
    </row>
    <row r="21" spans="1:22" s="403" customFormat="1" ht="12.75">
      <c r="A21" s="399">
        <f>+A19+1</f>
        <v>5</v>
      </c>
      <c r="B21" s="400" t="s">
        <v>756</v>
      </c>
      <c r="C21" s="4"/>
      <c r="D21" s="401"/>
      <c r="E21" s="401"/>
      <c r="F21" s="401"/>
      <c r="G21" s="409"/>
      <c r="H21" s="401"/>
      <c r="I21" s="634">
        <v>45727478.279999994</v>
      </c>
      <c r="J21" s="402">
        <f>+I21-K21</f>
        <v>45709353.279999994</v>
      </c>
      <c r="K21" s="634">
        <v>18125</v>
      </c>
      <c r="N21" s="411"/>
      <c r="O21" s="4"/>
      <c r="P21" s="4"/>
      <c r="Q21" s="4"/>
      <c r="R21" s="4"/>
      <c r="S21" s="4"/>
      <c r="T21" s="4"/>
      <c r="U21" s="4"/>
      <c r="V21" s="4"/>
    </row>
    <row r="22" spans="1:22" s="403" customFormat="1" ht="12.75">
      <c r="A22" s="399"/>
      <c r="B22" s="400"/>
      <c r="C22" s="4"/>
      <c r="D22" s="401"/>
      <c r="E22" s="401"/>
      <c r="F22" s="401"/>
      <c r="G22" s="409"/>
      <c r="H22" s="401"/>
      <c r="I22" s="668"/>
      <c r="J22" s="402"/>
      <c r="K22" s="668"/>
      <c r="N22" s="411"/>
      <c r="O22" s="4"/>
      <c r="P22" s="4"/>
      <c r="Q22" s="4"/>
      <c r="R22" s="4"/>
      <c r="S22" s="4"/>
      <c r="T22" s="4"/>
      <c r="U22" s="4"/>
      <c r="V22" s="4"/>
    </row>
    <row r="23" spans="1:22" s="403" customFormat="1" ht="12.75">
      <c r="A23" s="399" t="s">
        <v>616</v>
      </c>
      <c r="B23" s="400" t="s">
        <v>619</v>
      </c>
      <c r="C23" s="4"/>
      <c r="D23" s="401"/>
      <c r="E23" s="401"/>
      <c r="F23" s="401"/>
      <c r="G23" s="409"/>
      <c r="H23" s="401"/>
      <c r="I23" s="634">
        <v>92400</v>
      </c>
      <c r="J23" s="402">
        <v>0</v>
      </c>
      <c r="K23" s="634">
        <v>92400</v>
      </c>
      <c r="N23" s="411"/>
      <c r="O23" s="4"/>
      <c r="P23" s="4"/>
      <c r="Q23" s="4"/>
      <c r="R23" s="4"/>
      <c r="S23" s="4"/>
      <c r="T23" s="4"/>
      <c r="U23" s="4"/>
      <c r="V23" s="4"/>
    </row>
    <row r="24" spans="1:22" s="403" customFormat="1" ht="12.75">
      <c r="A24" s="399"/>
      <c r="B24" s="400"/>
      <c r="C24" s="4"/>
      <c r="D24" s="401"/>
      <c r="E24" s="401"/>
      <c r="F24" s="401"/>
      <c r="G24" s="409"/>
      <c r="H24" s="401"/>
      <c r="I24" s="668"/>
      <c r="J24" s="402"/>
      <c r="K24" s="668"/>
      <c r="N24" s="411"/>
      <c r="O24" s="4"/>
      <c r="P24" s="4"/>
      <c r="Q24" s="4"/>
      <c r="R24" s="4"/>
      <c r="S24" s="4"/>
      <c r="T24" s="4"/>
      <c r="U24" s="4"/>
      <c r="V24" s="4"/>
    </row>
    <row r="25" spans="1:22" s="403" customFormat="1" ht="12.75">
      <c r="A25" s="399" t="s">
        <v>617</v>
      </c>
      <c r="B25" s="400" t="s">
        <v>618</v>
      </c>
      <c r="C25" s="4"/>
      <c r="D25" s="401"/>
      <c r="E25" s="401"/>
      <c r="F25" s="401"/>
      <c r="G25" s="409"/>
      <c r="H25" s="401"/>
      <c r="I25" s="634"/>
      <c r="J25" s="402">
        <v>0</v>
      </c>
      <c r="K25" s="634"/>
      <c r="N25" s="411"/>
      <c r="O25" s="4"/>
      <c r="P25" s="4"/>
      <c r="Q25" s="4"/>
      <c r="R25" s="4"/>
      <c r="S25" s="4"/>
      <c r="T25" s="4"/>
      <c r="U25" s="4"/>
      <c r="V25" s="4"/>
    </row>
    <row r="26" spans="1:22" s="403" customFormat="1" ht="12.75">
      <c r="A26" s="399"/>
      <c r="B26" s="400"/>
      <c r="C26" s="4"/>
      <c r="D26" s="401"/>
      <c r="E26" s="401"/>
      <c r="F26" s="401"/>
      <c r="G26" s="409"/>
      <c r="H26" s="401"/>
      <c r="I26" s="4"/>
      <c r="J26" s="4"/>
      <c r="N26" s="4"/>
      <c r="O26" s="4"/>
      <c r="P26" s="4"/>
      <c r="Q26" s="4"/>
      <c r="R26" s="4"/>
      <c r="S26" s="4"/>
      <c r="T26" s="4"/>
      <c r="U26" s="4"/>
      <c r="V26" s="4"/>
    </row>
    <row r="27" spans="1:22" s="403" customFormat="1" ht="12.75">
      <c r="A27" s="399">
        <f>+A21+1</f>
        <v>6</v>
      </c>
      <c r="B27" s="400" t="s">
        <v>75</v>
      </c>
      <c r="C27" s="4"/>
      <c r="D27" s="401"/>
      <c r="E27" s="401"/>
      <c r="F27" s="401"/>
      <c r="G27" s="409"/>
      <c r="H27" s="401"/>
      <c r="I27" s="412">
        <f>+I21+I19+I17+I15+I13+I23+I25</f>
        <v>76786400.421999991</v>
      </c>
      <c r="J27" s="412">
        <f>+J21+J19+J17+J15+J13+J23+J25</f>
        <v>65942670.041999996</v>
      </c>
      <c r="K27" s="412">
        <f>+K21+K19+K17+K15+K13+K23+K25</f>
        <v>10843730.379999999</v>
      </c>
      <c r="N27" s="4"/>
      <c r="O27" s="4"/>
      <c r="P27" s="4"/>
      <c r="Q27" s="4"/>
      <c r="R27" s="4"/>
      <c r="S27" s="4"/>
      <c r="T27" s="4"/>
      <c r="U27" s="4"/>
      <c r="V27" s="4"/>
    </row>
    <row r="28" spans="1:22" s="403" customFormat="1" ht="12.75">
      <c r="A28" s="399"/>
      <c r="B28" s="400"/>
      <c r="C28" s="4"/>
      <c r="D28" s="401"/>
      <c r="E28" s="401"/>
      <c r="F28" s="401"/>
      <c r="G28" s="409"/>
      <c r="H28" s="401"/>
      <c r="I28" s="4"/>
      <c r="J28" s="4"/>
      <c r="K28" s="4"/>
      <c r="N28" s="4"/>
      <c r="O28" s="4"/>
      <c r="P28" s="4"/>
      <c r="Q28" s="4"/>
      <c r="R28" s="4"/>
      <c r="S28" s="4"/>
      <c r="T28" s="4"/>
      <c r="U28" s="4"/>
      <c r="V28" s="4"/>
    </row>
    <row r="29" spans="1:22" s="403" customFormat="1" ht="12.75">
      <c r="A29" s="399">
        <f>+A27+1</f>
        <v>7</v>
      </c>
      <c r="B29" s="1261" t="s">
        <v>486</v>
      </c>
      <c r="C29" s="1204"/>
      <c r="D29" s="1204"/>
      <c r="E29" s="1204"/>
      <c r="F29" s="1204"/>
      <c r="G29" s="1204"/>
      <c r="H29" s="401"/>
      <c r="I29" s="634"/>
      <c r="J29" s="402">
        <f>+I29-K29</f>
        <v>0</v>
      </c>
      <c r="K29" s="634"/>
      <c r="N29" s="4"/>
      <c r="O29" s="4"/>
      <c r="P29" s="4"/>
      <c r="Q29" s="4"/>
      <c r="R29" s="4"/>
      <c r="S29" s="4"/>
      <c r="T29" s="4"/>
      <c r="U29" s="4"/>
      <c r="V29" s="4"/>
    </row>
    <row r="30" spans="1:22" s="403" customFormat="1" ht="12.75">
      <c r="A30" s="82"/>
      <c r="B30" s="1204"/>
      <c r="C30" s="1204"/>
      <c r="D30" s="1204"/>
      <c r="E30" s="1204"/>
      <c r="F30" s="1204"/>
      <c r="G30" s="1204"/>
      <c r="H30" s="401"/>
      <c r="I30" s="402"/>
      <c r="J30" s="401"/>
      <c r="K30" s="402"/>
      <c r="N30" s="4"/>
      <c r="O30" s="4"/>
      <c r="P30" s="4"/>
      <c r="Q30" s="4"/>
      <c r="R30" s="4"/>
      <c r="S30" s="4"/>
      <c r="T30" s="4"/>
      <c r="U30" s="4"/>
      <c r="V30" s="4"/>
    </row>
    <row r="31" spans="1:22" s="403" customFormat="1" ht="12.75">
      <c r="A31" s="399">
        <f>+A29+1</f>
        <v>8</v>
      </c>
      <c r="B31" s="405" t="s">
        <v>216</v>
      </c>
      <c r="C31" s="406"/>
      <c r="D31" s="407"/>
      <c r="E31" s="407"/>
      <c r="F31" s="407"/>
      <c r="G31" s="410"/>
      <c r="H31" s="401"/>
      <c r="I31" s="413">
        <f>SUM(I27:I29)</f>
        <v>76786400.421999991</v>
      </c>
      <c r="J31" s="413">
        <f>SUM(J27:J29)</f>
        <v>65942670.041999996</v>
      </c>
      <c r="K31" s="413">
        <f>SUM(K27:K29)</f>
        <v>10843730.379999999</v>
      </c>
      <c r="N31" s="4"/>
      <c r="O31" s="4"/>
      <c r="P31" s="4"/>
      <c r="Q31" s="4"/>
      <c r="R31" s="4"/>
      <c r="S31" s="4"/>
      <c r="T31" s="4"/>
      <c r="U31" s="4"/>
      <c r="V31" s="4"/>
    </row>
    <row r="32" spans="1:22" s="403" customFormat="1" ht="12.75">
      <c r="A32" s="399"/>
      <c r="B32" s="405"/>
      <c r="C32" s="406"/>
      <c r="D32" s="407"/>
      <c r="E32" s="407"/>
      <c r="F32" s="407"/>
      <c r="G32" s="410"/>
      <c r="H32" s="401"/>
      <c r="I32" s="402"/>
      <c r="J32" s="402"/>
      <c r="K32" s="402"/>
      <c r="N32" s="4"/>
      <c r="O32" s="4"/>
      <c r="P32" s="4"/>
      <c r="Q32" s="4"/>
      <c r="R32" s="4"/>
      <c r="S32" s="4"/>
      <c r="T32" s="4"/>
      <c r="U32" s="4"/>
      <c r="V32" s="4"/>
    </row>
    <row r="33" spans="1:22" s="403" customFormat="1" ht="12.75">
      <c r="A33" s="399"/>
      <c r="B33" s="405"/>
      <c r="C33" s="406"/>
      <c r="D33" s="407"/>
      <c r="E33" s="407"/>
      <c r="F33" s="407"/>
      <c r="G33" s="410"/>
      <c r="H33" s="401"/>
      <c r="I33" s="402"/>
      <c r="J33" s="402"/>
      <c r="K33" s="402"/>
      <c r="N33" s="4"/>
      <c r="O33" s="4"/>
      <c r="P33" s="4"/>
      <c r="Q33" s="4"/>
      <c r="R33" s="4"/>
      <c r="S33" s="4"/>
      <c r="T33" s="4"/>
      <c r="U33" s="4"/>
      <c r="V33" s="4"/>
    </row>
    <row r="34" spans="1:22" s="403" customFormat="1" ht="12.75">
      <c r="A34" s="836"/>
      <c r="N34" s="4"/>
      <c r="O34" s="4"/>
      <c r="P34" s="4"/>
      <c r="Q34" s="4"/>
      <c r="R34" s="4"/>
      <c r="S34" s="4"/>
      <c r="T34" s="4"/>
      <c r="U34" s="4"/>
      <c r="V34" s="4"/>
    </row>
    <row r="35" spans="1:22">
      <c r="A35" s="837"/>
      <c r="B35" s="4"/>
      <c r="C35" s="400"/>
      <c r="D35" s="401"/>
      <c r="E35" s="401"/>
      <c r="F35" s="401"/>
      <c r="G35" s="409"/>
      <c r="H35" s="401"/>
      <c r="I35" s="401"/>
      <c r="J35" s="401"/>
      <c r="K35" s="401"/>
      <c r="L35" s="393"/>
      <c r="M35" s="414"/>
      <c r="N35" s="2"/>
      <c r="O35" s="29"/>
      <c r="P35" s="29"/>
      <c r="Q35" s="29"/>
      <c r="R35" s="29"/>
      <c r="S35" s="2"/>
      <c r="T35" s="2"/>
      <c r="U35" s="2"/>
      <c r="V35" s="2"/>
    </row>
    <row r="36" spans="1:22" ht="15" customHeight="1">
      <c r="A36" s="82" t="s">
        <v>500</v>
      </c>
      <c r="B36" s="1260" t="str">
        <f>"The total company data on this worksheet comes from the indicated FF1 source, or "&amp;A6&amp;"'s general ledger. The functional amounts identified as transmission revenue also come from the general ledger. "</f>
        <v xml:space="preserve">The total company data on this worksheet comes from the indicated FF1 source, or Indiana Michigan Power Company 's general ledger. The functional amounts identified as transmission revenue also come from the general ledger. </v>
      </c>
      <c r="C36" s="1260"/>
      <c r="D36" s="1260"/>
      <c r="E36" s="1260"/>
      <c r="F36" s="1260"/>
      <c r="G36" s="1260"/>
      <c r="H36" s="1260"/>
      <c r="I36" s="1260"/>
      <c r="J36" s="1260"/>
      <c r="K36" s="4"/>
      <c r="L36" s="29"/>
      <c r="M36" s="29"/>
      <c r="N36" s="2"/>
      <c r="O36" s="29"/>
      <c r="P36" s="29"/>
      <c r="Q36" s="29"/>
      <c r="R36" s="29"/>
      <c r="S36" s="2"/>
      <c r="T36" s="395"/>
      <c r="U36" s="2"/>
      <c r="V36" s="2"/>
    </row>
    <row r="37" spans="1:22" ht="15.75">
      <c r="A37" s="82"/>
      <c r="B37" s="1260"/>
      <c r="C37" s="1260"/>
      <c r="D37" s="1260"/>
      <c r="E37" s="1260"/>
      <c r="F37" s="1260"/>
      <c r="G37" s="1260"/>
      <c r="H37" s="1260"/>
      <c r="I37" s="1260"/>
      <c r="J37" s="1260"/>
      <c r="K37" s="4"/>
      <c r="L37" s="2"/>
      <c r="M37" s="416"/>
      <c r="N37" s="416"/>
      <c r="O37" s="416"/>
      <c r="P37" s="416"/>
      <c r="Q37" s="416"/>
      <c r="R37" s="2"/>
      <c r="S37" s="2"/>
      <c r="T37" s="2"/>
      <c r="U37" s="2"/>
      <c r="V37" s="2"/>
    </row>
    <row r="38" spans="1:22" ht="15.75">
      <c r="A38" s="82" t="s">
        <v>614</v>
      </c>
      <c r="B38" s="835" t="s">
        <v>615</v>
      </c>
      <c r="C38" s="415"/>
      <c r="D38" s="415"/>
      <c r="E38" s="415"/>
      <c r="F38" s="415"/>
      <c r="G38" s="415"/>
      <c r="H38" s="415"/>
      <c r="I38" s="415"/>
      <c r="J38" s="415"/>
      <c r="K38" s="138"/>
      <c r="L38" s="2"/>
      <c r="M38" s="416"/>
      <c r="N38" s="416"/>
      <c r="O38" s="416"/>
      <c r="P38" s="416"/>
      <c r="Q38" s="416"/>
      <c r="R38" s="2"/>
      <c r="S38" s="2"/>
      <c r="T38" s="2"/>
      <c r="U38" s="2"/>
      <c r="V38" s="2"/>
    </row>
    <row r="39" spans="1:22" ht="15.75">
      <c r="A39" s="399">
        <f>+A31+1</f>
        <v>9</v>
      </c>
      <c r="B39" s="400" t="s">
        <v>536</v>
      </c>
      <c r="C39" s="4"/>
      <c r="D39" s="401"/>
      <c r="E39" s="401"/>
      <c r="F39" s="401"/>
      <c r="G39" s="409"/>
      <c r="H39" s="401"/>
      <c r="I39" s="402"/>
      <c r="J39" s="402"/>
      <c r="K39" s="634">
        <v>466346.80433206621</v>
      </c>
      <c r="L39" s="2"/>
      <c r="M39" s="416"/>
      <c r="N39" s="416"/>
      <c r="O39" s="416"/>
      <c r="P39" s="416"/>
      <c r="Q39" s="416"/>
      <c r="R39" s="2"/>
      <c r="S39" s="2"/>
      <c r="T39" s="2"/>
      <c r="U39" s="2"/>
      <c r="V39" s="2"/>
    </row>
    <row r="40" spans="1:22" ht="15.75">
      <c r="A40" s="2"/>
      <c r="B40" s="2"/>
      <c r="E40" s="416"/>
      <c r="F40" s="416"/>
      <c r="G40" s="416"/>
      <c r="H40" s="416"/>
      <c r="I40" s="417"/>
      <c r="J40" s="416"/>
      <c r="K40" s="416"/>
      <c r="L40" s="2"/>
      <c r="M40" s="416"/>
      <c r="N40" s="416"/>
      <c r="O40" s="416"/>
      <c r="P40" s="416"/>
      <c r="Q40" s="416"/>
      <c r="R40" s="2"/>
      <c r="S40" s="2"/>
      <c r="T40" s="2"/>
      <c r="U40" s="2"/>
      <c r="V40" s="2"/>
    </row>
    <row r="41" spans="1:22" ht="15.75">
      <c r="A41" s="2"/>
      <c r="B41" s="2"/>
      <c r="E41" s="416"/>
      <c r="F41" s="416"/>
      <c r="G41" s="416"/>
      <c r="H41" s="416"/>
      <c r="I41" s="416" t="s">
        <v>115</v>
      </c>
      <c r="J41" s="416"/>
      <c r="K41" s="416"/>
      <c r="L41" s="2"/>
      <c r="M41" s="416"/>
      <c r="N41" s="416"/>
      <c r="O41" s="416"/>
      <c r="P41" s="416"/>
      <c r="Q41" s="416"/>
      <c r="R41" s="2"/>
      <c r="S41" s="2"/>
      <c r="T41" s="2"/>
      <c r="U41" s="2"/>
      <c r="V41" s="2"/>
    </row>
    <row r="42" spans="1:22" ht="15.75">
      <c r="A42" s="2"/>
      <c r="B42" s="2"/>
      <c r="E42" s="416"/>
      <c r="F42" s="416"/>
      <c r="G42" s="416"/>
      <c r="H42" s="416"/>
      <c r="I42" s="416" t="s">
        <v>115</v>
      </c>
      <c r="J42" s="416"/>
      <c r="K42" s="416"/>
      <c r="L42" s="2"/>
      <c r="M42" s="416"/>
      <c r="N42" s="416"/>
      <c r="O42" s="416"/>
      <c r="P42" s="416"/>
      <c r="Q42" s="416"/>
      <c r="R42" s="2"/>
      <c r="S42" s="2"/>
      <c r="T42" s="2"/>
      <c r="U42" s="2"/>
      <c r="V42" s="2"/>
    </row>
    <row r="43" spans="1:22" ht="15.75">
      <c r="A43" s="2"/>
      <c r="B43" s="2"/>
      <c r="E43" s="416"/>
      <c r="F43" s="416"/>
      <c r="G43" s="416"/>
      <c r="H43" s="416"/>
      <c r="I43" s="416"/>
      <c r="J43" s="416"/>
      <c r="K43" s="416"/>
      <c r="L43" s="2"/>
      <c r="M43" s="416"/>
      <c r="N43" s="416"/>
      <c r="O43" s="416"/>
      <c r="P43" s="416"/>
      <c r="Q43" s="416"/>
      <c r="R43" s="2"/>
      <c r="S43" s="2"/>
      <c r="T43" s="2"/>
      <c r="U43" s="2"/>
      <c r="V43" s="2"/>
    </row>
    <row r="44" spans="1:22" ht="15.75">
      <c r="A44" s="2"/>
      <c r="B44" s="2"/>
      <c r="E44" s="416"/>
      <c r="F44" s="416"/>
      <c r="G44" s="416"/>
      <c r="H44" s="416"/>
      <c r="I44" s="416"/>
      <c r="J44" s="416"/>
      <c r="K44" s="416"/>
      <c r="L44" s="2"/>
      <c r="M44" s="416"/>
      <c r="N44" s="416"/>
      <c r="O44" s="416"/>
      <c r="P44" s="416"/>
      <c r="Q44" s="416"/>
      <c r="R44" s="2"/>
      <c r="S44" s="2"/>
      <c r="T44" s="2"/>
      <c r="U44" s="2"/>
      <c r="V44" s="2"/>
    </row>
    <row r="45" spans="1:22" ht="15.75">
      <c r="A45" s="2"/>
      <c r="B45" s="2"/>
      <c r="E45" s="416"/>
      <c r="F45" s="416"/>
      <c r="G45" s="416"/>
      <c r="H45" s="416"/>
      <c r="I45" s="416"/>
      <c r="J45" s="416"/>
      <c r="K45" s="416"/>
      <c r="L45" s="2"/>
      <c r="M45" s="416"/>
      <c r="N45" s="416"/>
      <c r="O45" s="416"/>
      <c r="P45" s="416"/>
      <c r="Q45" s="416"/>
      <c r="R45" s="2"/>
      <c r="S45" s="2"/>
      <c r="T45" s="2"/>
      <c r="U45" s="2"/>
      <c r="V45" s="2"/>
    </row>
    <row r="46" spans="1:22" ht="15.75">
      <c r="A46" s="2"/>
      <c r="B46" s="2"/>
      <c r="E46" s="416"/>
      <c r="F46" s="416"/>
      <c r="G46" s="416"/>
      <c r="H46" s="416"/>
      <c r="I46" s="416"/>
      <c r="J46" s="416"/>
      <c r="K46" s="416"/>
      <c r="L46" s="2"/>
      <c r="M46" s="416"/>
      <c r="N46" s="416"/>
      <c r="O46" s="416"/>
      <c r="P46" s="416"/>
      <c r="Q46" s="416"/>
      <c r="R46" s="2"/>
      <c r="S46" s="2"/>
      <c r="T46" s="2"/>
      <c r="U46" s="2"/>
      <c r="V46" s="2"/>
    </row>
    <row r="47" spans="1:22" ht="15.75">
      <c r="A47" s="2"/>
      <c r="B47" s="2"/>
      <c r="E47" s="416"/>
      <c r="F47" s="416"/>
      <c r="G47" s="416"/>
      <c r="H47" s="416"/>
      <c r="I47" s="416"/>
      <c r="J47" s="416"/>
      <c r="K47" s="416"/>
      <c r="L47" s="2"/>
      <c r="M47" s="416"/>
      <c r="N47" s="416"/>
      <c r="O47" s="416"/>
      <c r="P47" s="416"/>
      <c r="Q47" s="416"/>
      <c r="R47" s="2"/>
      <c r="S47" s="2"/>
      <c r="T47" s="2"/>
      <c r="U47" s="2"/>
      <c r="V47" s="2"/>
    </row>
    <row r="48" spans="1:22" ht="15.75">
      <c r="A48" s="2"/>
      <c r="B48" s="2"/>
      <c r="E48" s="416"/>
      <c r="F48" s="416"/>
      <c r="G48" s="416"/>
      <c r="H48" s="416"/>
      <c r="I48" s="416"/>
      <c r="J48" s="416"/>
      <c r="K48" s="416"/>
      <c r="L48" s="2"/>
      <c r="M48" s="416"/>
      <c r="N48" s="416"/>
      <c r="O48" s="416"/>
      <c r="P48" s="416"/>
      <c r="Q48" s="416"/>
      <c r="R48" s="2"/>
      <c r="S48" s="2"/>
      <c r="T48" s="2"/>
      <c r="U48" s="2"/>
      <c r="V48" s="2"/>
    </row>
    <row r="49" spans="1:22" ht="15.75">
      <c r="I49" s="416"/>
      <c r="J49" s="416"/>
      <c r="K49" s="416"/>
      <c r="L49" s="2"/>
      <c r="M49" s="416"/>
      <c r="N49" s="416"/>
      <c r="O49" s="416"/>
      <c r="P49" s="416"/>
      <c r="Q49" s="416"/>
      <c r="R49" s="2"/>
      <c r="S49" s="2"/>
      <c r="T49" s="2"/>
      <c r="U49" s="2"/>
      <c r="V49" s="2"/>
    </row>
    <row r="50" spans="1:22" ht="15.75">
      <c r="A50" s="2"/>
      <c r="B50" s="2"/>
      <c r="E50" s="416"/>
      <c r="F50" s="416"/>
      <c r="G50" s="416"/>
      <c r="H50" s="416"/>
      <c r="I50" s="416"/>
      <c r="J50" s="416"/>
      <c r="K50" s="416"/>
      <c r="L50" s="2"/>
      <c r="M50" s="416"/>
      <c r="N50" s="416"/>
      <c r="O50" s="416"/>
      <c r="P50" s="416"/>
      <c r="Q50" s="416"/>
      <c r="R50" s="2"/>
      <c r="S50" s="2"/>
      <c r="T50" s="2"/>
      <c r="U50" s="2"/>
      <c r="V50" s="2"/>
    </row>
    <row r="51" spans="1:22" ht="15.75">
      <c r="A51" s="2"/>
      <c r="B51" s="2"/>
      <c r="E51" s="416"/>
      <c r="F51" s="416"/>
      <c r="G51" s="416"/>
      <c r="H51" s="416"/>
      <c r="I51" s="416"/>
      <c r="J51" s="416"/>
      <c r="K51" s="416"/>
      <c r="L51" s="2"/>
      <c r="M51" s="416"/>
      <c r="N51" s="416"/>
      <c r="O51" s="416"/>
      <c r="P51" s="416"/>
      <c r="Q51" s="416"/>
      <c r="R51" s="2"/>
      <c r="S51" s="2"/>
      <c r="T51" s="2"/>
      <c r="U51" s="2"/>
      <c r="V51" s="2"/>
    </row>
    <row r="52" spans="1:22" ht="15.75">
      <c r="A52" s="2"/>
      <c r="B52" s="2"/>
      <c r="E52" s="416"/>
      <c r="F52" s="416"/>
      <c r="G52" s="416"/>
      <c r="H52" s="416"/>
      <c r="I52" s="416"/>
      <c r="J52" s="416"/>
      <c r="K52" s="416"/>
      <c r="L52" s="2"/>
      <c r="M52" s="416"/>
      <c r="N52" s="416"/>
      <c r="O52" s="416"/>
      <c r="P52" s="416"/>
      <c r="Q52" s="416"/>
      <c r="R52" s="2"/>
      <c r="S52" s="2"/>
      <c r="T52" s="2"/>
      <c r="U52" s="2"/>
      <c r="V52" s="2"/>
    </row>
    <row r="53" spans="1:22" ht="15.75">
      <c r="A53" s="2"/>
      <c r="B53" s="2"/>
      <c r="E53" s="416"/>
      <c r="F53" s="416"/>
      <c r="G53" s="416"/>
      <c r="H53" s="416"/>
      <c r="I53" s="416"/>
      <c r="J53" s="416"/>
      <c r="K53" s="416"/>
      <c r="L53" s="2"/>
      <c r="M53" s="416"/>
      <c r="N53" s="416"/>
      <c r="O53" s="416"/>
      <c r="P53" s="416"/>
      <c r="Q53" s="416"/>
      <c r="R53" s="2"/>
      <c r="S53" s="2"/>
      <c r="T53" s="2"/>
      <c r="U53" s="2"/>
      <c r="V53" s="2"/>
    </row>
    <row r="54" spans="1:22" ht="15.75">
      <c r="A54" s="2"/>
      <c r="B54" s="2"/>
      <c r="E54" s="416"/>
      <c r="F54" s="416"/>
      <c r="G54" s="416"/>
      <c r="H54" s="416"/>
      <c r="I54" s="416"/>
      <c r="J54" s="416"/>
      <c r="K54" s="416"/>
      <c r="L54" s="2"/>
      <c r="M54" s="416"/>
      <c r="N54" s="416"/>
      <c r="O54" s="416"/>
      <c r="P54" s="416"/>
      <c r="Q54" s="416"/>
      <c r="R54" s="2"/>
      <c r="S54" s="2"/>
      <c r="T54" s="2"/>
      <c r="U54" s="2"/>
      <c r="V54" s="2"/>
    </row>
    <row r="55" spans="1:22" ht="15.75">
      <c r="A55" s="2"/>
      <c r="B55" s="2"/>
      <c r="E55" s="416"/>
      <c r="F55" s="416"/>
      <c r="G55" s="416"/>
      <c r="H55" s="416"/>
      <c r="I55" s="416"/>
      <c r="J55" s="416"/>
      <c r="K55" s="416"/>
      <c r="L55" s="2"/>
      <c r="M55" s="416"/>
      <c r="N55" s="416"/>
      <c r="O55" s="416"/>
      <c r="P55" s="416"/>
      <c r="Q55" s="416"/>
      <c r="R55" s="2"/>
      <c r="S55" s="2"/>
      <c r="T55" s="2"/>
      <c r="U55" s="2"/>
      <c r="V55" s="2"/>
    </row>
    <row r="56" spans="1:22" ht="15.75">
      <c r="A56" s="2"/>
      <c r="B56" s="2"/>
      <c r="E56" s="416"/>
      <c r="F56" s="416"/>
      <c r="G56" s="416"/>
      <c r="H56" s="416"/>
      <c r="I56" s="416"/>
      <c r="J56" s="416"/>
      <c r="K56" s="416"/>
      <c r="L56" s="2"/>
      <c r="M56" s="416"/>
      <c r="N56" s="416"/>
      <c r="O56" s="416"/>
      <c r="P56" s="416"/>
      <c r="Q56" s="416"/>
      <c r="R56" s="2"/>
      <c r="S56" s="2"/>
      <c r="T56" s="2"/>
      <c r="U56" s="2"/>
      <c r="V56" s="2"/>
    </row>
    <row r="57" spans="1:22" ht="15.75">
      <c r="A57" s="2"/>
      <c r="B57" s="2"/>
      <c r="E57" s="416"/>
      <c r="F57" s="416"/>
      <c r="G57" s="416"/>
      <c r="H57" s="416"/>
      <c r="I57" s="416"/>
      <c r="J57" s="416"/>
      <c r="K57" s="416"/>
      <c r="L57" s="2"/>
      <c r="M57" s="416"/>
      <c r="N57" s="416"/>
      <c r="O57" s="416"/>
      <c r="P57" s="416"/>
      <c r="Q57" s="416"/>
      <c r="R57" s="2"/>
      <c r="S57" s="2"/>
      <c r="T57" s="2"/>
      <c r="U57" s="2"/>
      <c r="V57" s="2"/>
    </row>
    <row r="58" spans="1:22" ht="15.75">
      <c r="A58" s="2"/>
      <c r="B58" s="2"/>
      <c r="E58" s="416"/>
      <c r="F58" s="416"/>
      <c r="G58" s="416"/>
      <c r="H58" s="416"/>
      <c r="I58" s="416"/>
      <c r="J58" s="416"/>
      <c r="K58" s="416"/>
      <c r="L58" s="2"/>
      <c r="M58" s="416"/>
      <c r="N58" s="416"/>
      <c r="O58" s="416"/>
      <c r="P58" s="416"/>
      <c r="Q58" s="416"/>
      <c r="R58" s="2"/>
      <c r="S58" s="2"/>
      <c r="T58" s="2"/>
      <c r="U58" s="2"/>
      <c r="V58" s="2"/>
    </row>
    <row r="59" spans="1:22" ht="15.75">
      <c r="A59" s="2"/>
      <c r="B59" s="2"/>
      <c r="E59" s="416"/>
      <c r="F59" s="416"/>
      <c r="G59" s="416"/>
      <c r="H59" s="416"/>
      <c r="I59" s="416"/>
      <c r="J59" s="416"/>
      <c r="K59" s="416"/>
      <c r="L59" s="2"/>
      <c r="M59" s="416"/>
      <c r="N59" s="416"/>
      <c r="O59" s="416"/>
      <c r="P59" s="416"/>
      <c r="Q59" s="416"/>
      <c r="R59" s="2"/>
      <c r="S59" s="2"/>
      <c r="T59" s="2"/>
      <c r="U59" s="2"/>
      <c r="V59" s="2"/>
    </row>
    <row r="60" spans="1:22" ht="15.75">
      <c r="A60" s="2"/>
      <c r="B60" s="2"/>
      <c r="E60" s="416"/>
      <c r="F60" s="416"/>
      <c r="G60" s="416"/>
      <c r="H60" s="416"/>
      <c r="I60" s="416"/>
      <c r="J60" s="416"/>
      <c r="K60" s="416"/>
      <c r="L60" s="2"/>
      <c r="M60" s="416"/>
      <c r="N60" s="416"/>
      <c r="O60" s="416"/>
      <c r="P60" s="416"/>
      <c r="Q60" s="416"/>
      <c r="R60" s="2"/>
      <c r="S60" s="2"/>
      <c r="T60" s="2"/>
      <c r="U60" s="2"/>
      <c r="V60" s="2"/>
    </row>
    <row r="61" spans="1:22" ht="15.75">
      <c r="A61" s="2"/>
      <c r="B61" s="2"/>
      <c r="E61" s="416"/>
      <c r="F61" s="416"/>
      <c r="G61" s="416"/>
      <c r="H61" s="416"/>
      <c r="I61" s="416"/>
      <c r="J61" s="416"/>
      <c r="K61" s="416"/>
      <c r="L61" s="2"/>
      <c r="M61" s="416"/>
      <c r="N61" s="416"/>
      <c r="O61" s="416"/>
      <c r="P61" s="416"/>
      <c r="Q61" s="416"/>
      <c r="R61" s="2"/>
      <c r="S61" s="2"/>
      <c r="T61" s="2"/>
      <c r="U61" s="2"/>
      <c r="V61" s="2"/>
    </row>
    <row r="62" spans="1:22" ht="15.75">
      <c r="A62" s="2"/>
      <c r="B62" s="2"/>
      <c r="E62" s="416"/>
      <c r="F62" s="416"/>
      <c r="G62" s="416"/>
      <c r="H62" s="416"/>
      <c r="I62" s="416"/>
      <c r="J62" s="416"/>
      <c r="K62" s="416"/>
      <c r="L62" s="2"/>
      <c r="M62" s="416"/>
      <c r="N62" s="416"/>
      <c r="O62" s="416"/>
      <c r="P62" s="416"/>
      <c r="Q62" s="416"/>
      <c r="R62" s="2"/>
      <c r="S62" s="2"/>
      <c r="T62" s="2"/>
      <c r="U62" s="2"/>
      <c r="V62" s="2"/>
    </row>
    <row r="63" spans="1:22" ht="15.75">
      <c r="A63" s="2"/>
      <c r="B63" s="2"/>
      <c r="E63" s="416"/>
      <c r="F63" s="416"/>
      <c r="G63" s="416"/>
      <c r="H63" s="416"/>
      <c r="I63" s="416"/>
      <c r="J63" s="416"/>
      <c r="K63" s="416"/>
      <c r="L63" s="2"/>
      <c r="M63" s="416"/>
      <c r="N63" s="416"/>
      <c r="O63" s="416"/>
      <c r="P63" s="416"/>
      <c r="Q63" s="416"/>
      <c r="R63" s="2"/>
      <c r="S63" s="2"/>
      <c r="T63" s="2"/>
      <c r="U63" s="2"/>
      <c r="V63" s="2"/>
    </row>
    <row r="64" spans="1:22" ht="15.75">
      <c r="A64" s="2"/>
      <c r="B64" s="2"/>
      <c r="E64" s="416"/>
      <c r="F64" s="416"/>
      <c r="G64" s="416"/>
      <c r="H64" s="416"/>
      <c r="I64" s="416"/>
      <c r="J64" s="416"/>
      <c r="K64" s="416"/>
      <c r="L64" s="2"/>
      <c r="M64" s="416"/>
      <c r="N64" s="416"/>
      <c r="O64" s="416"/>
      <c r="P64" s="416"/>
      <c r="Q64" s="416"/>
      <c r="R64" s="2"/>
      <c r="S64" s="2"/>
      <c r="T64" s="2"/>
      <c r="U64" s="2"/>
      <c r="V64" s="2"/>
    </row>
    <row r="65" spans="1:22" ht="15.75">
      <c r="A65" s="2"/>
      <c r="B65" s="2"/>
      <c r="E65" s="416"/>
      <c r="F65" s="416"/>
      <c r="G65" s="416"/>
      <c r="H65" s="416"/>
      <c r="I65" s="416"/>
      <c r="J65" s="416"/>
      <c r="K65" s="416"/>
      <c r="L65" s="2"/>
      <c r="M65" s="416"/>
      <c r="N65" s="416"/>
      <c r="O65" s="416"/>
      <c r="P65" s="416"/>
      <c r="Q65" s="416"/>
      <c r="R65" s="2"/>
      <c r="S65" s="2"/>
      <c r="T65" s="2"/>
      <c r="U65" s="2"/>
      <c r="V65" s="2"/>
    </row>
    <row r="66" spans="1:22" ht="15.75">
      <c r="A66" s="2"/>
      <c r="B66" s="2"/>
      <c r="E66" s="416"/>
      <c r="F66" s="416"/>
      <c r="G66" s="416"/>
      <c r="H66" s="416"/>
      <c r="I66" s="416"/>
      <c r="J66" s="416"/>
      <c r="K66" s="416"/>
      <c r="L66" s="2"/>
      <c r="M66" s="416"/>
      <c r="N66" s="416"/>
      <c r="O66" s="416"/>
      <c r="P66" s="416"/>
      <c r="Q66" s="416"/>
      <c r="R66" s="2"/>
      <c r="S66" s="2"/>
      <c r="T66" s="2"/>
      <c r="U66" s="2"/>
      <c r="V66" s="2"/>
    </row>
    <row r="67" spans="1:22" ht="15.75">
      <c r="A67" s="2"/>
      <c r="B67" s="2"/>
      <c r="E67" s="416"/>
      <c r="F67" s="416"/>
      <c r="G67" s="416"/>
      <c r="H67" s="416"/>
      <c r="I67" s="416"/>
      <c r="J67" s="416"/>
      <c r="K67" s="416"/>
      <c r="L67" s="2"/>
      <c r="M67" s="416"/>
      <c r="N67" s="416"/>
      <c r="O67" s="416"/>
      <c r="P67" s="416"/>
      <c r="Q67" s="416"/>
      <c r="R67" s="2"/>
      <c r="S67" s="2"/>
      <c r="T67" s="2"/>
      <c r="U67" s="2"/>
      <c r="V67" s="2"/>
    </row>
    <row r="68" spans="1:22" ht="15.75">
      <c r="A68" s="2"/>
      <c r="B68" s="2"/>
      <c r="E68" s="416"/>
      <c r="F68" s="416"/>
      <c r="G68" s="416"/>
      <c r="H68" s="416"/>
      <c r="I68" s="416"/>
      <c r="J68" s="416"/>
      <c r="K68" s="416"/>
      <c r="L68" s="2"/>
      <c r="M68" s="416"/>
      <c r="N68" s="416"/>
      <c r="O68" s="416"/>
      <c r="P68" s="416"/>
      <c r="Q68" s="416"/>
      <c r="R68" s="2"/>
      <c r="S68" s="2"/>
      <c r="T68" s="2"/>
      <c r="U68" s="2"/>
      <c r="V68" s="2"/>
    </row>
    <row r="69" spans="1:22" ht="15.75">
      <c r="A69" s="2"/>
      <c r="B69" s="2"/>
      <c r="E69" s="416"/>
      <c r="F69" s="416"/>
      <c r="G69" s="416"/>
      <c r="H69" s="416"/>
      <c r="I69" s="416"/>
      <c r="J69" s="416"/>
      <c r="K69" s="416"/>
      <c r="L69" s="2"/>
      <c r="M69" s="416"/>
      <c r="N69" s="416"/>
      <c r="O69" s="416"/>
      <c r="P69" s="416"/>
      <c r="Q69" s="416"/>
      <c r="R69" s="2"/>
      <c r="S69" s="2"/>
      <c r="T69" s="2"/>
      <c r="U69" s="2"/>
      <c r="V69" s="2"/>
    </row>
    <row r="70" spans="1:22" ht="15.75">
      <c r="A70" s="2"/>
      <c r="B70" s="2"/>
      <c r="E70" s="416"/>
      <c r="F70" s="416"/>
      <c r="G70" s="416"/>
      <c r="H70" s="416"/>
      <c r="I70" s="416"/>
      <c r="J70" s="416"/>
      <c r="K70" s="416"/>
      <c r="L70" s="2"/>
      <c r="M70" s="416"/>
      <c r="N70" s="416"/>
      <c r="O70" s="416"/>
      <c r="P70" s="416"/>
      <c r="Q70" s="416"/>
      <c r="R70" s="2"/>
      <c r="S70" s="2"/>
      <c r="T70" s="2"/>
      <c r="U70" s="2"/>
      <c r="V70" s="2"/>
    </row>
    <row r="71" spans="1:22" ht="15.75">
      <c r="A71" s="2"/>
      <c r="B71" s="2"/>
      <c r="E71" s="416"/>
      <c r="F71" s="416"/>
      <c r="G71" s="416"/>
      <c r="H71" s="416"/>
      <c r="I71" s="416"/>
      <c r="J71" s="416"/>
      <c r="K71" s="416"/>
      <c r="L71" s="2"/>
      <c r="M71" s="416"/>
      <c r="N71" s="416"/>
      <c r="O71" s="416"/>
      <c r="P71" s="416"/>
      <c r="Q71" s="416"/>
      <c r="R71" s="2"/>
      <c r="S71" s="2"/>
      <c r="T71" s="2"/>
      <c r="U71" s="2"/>
      <c r="V71" s="2"/>
    </row>
    <row r="72" spans="1:22" ht="15.75">
      <c r="A72" s="2"/>
      <c r="B72" s="2"/>
      <c r="E72" s="416"/>
      <c r="F72" s="416"/>
      <c r="G72" s="416"/>
      <c r="H72" s="416"/>
      <c r="I72" s="416"/>
      <c r="J72" s="416"/>
      <c r="K72" s="416"/>
      <c r="L72" s="2"/>
      <c r="M72" s="416"/>
      <c r="N72" s="416"/>
      <c r="O72" s="416"/>
      <c r="P72" s="416"/>
      <c r="Q72" s="416"/>
      <c r="R72" s="2"/>
      <c r="S72" s="2"/>
      <c r="T72" s="2"/>
      <c r="U72" s="2"/>
      <c r="V72" s="2"/>
    </row>
    <row r="73" spans="1:22" ht="15.75">
      <c r="A73" s="2"/>
      <c r="B73" s="2"/>
      <c r="E73" s="416"/>
      <c r="F73" s="416"/>
      <c r="G73" s="416"/>
      <c r="H73" s="416"/>
      <c r="I73" s="416"/>
      <c r="J73" s="416"/>
      <c r="K73" s="416"/>
      <c r="L73" s="2"/>
      <c r="M73" s="416"/>
      <c r="N73" s="416"/>
      <c r="O73" s="416"/>
      <c r="P73" s="416"/>
      <c r="Q73" s="416"/>
      <c r="R73" s="2"/>
      <c r="S73" s="2"/>
      <c r="T73" s="2"/>
      <c r="U73" s="2"/>
      <c r="V73" s="2"/>
    </row>
    <row r="74" spans="1:22" ht="15.75">
      <c r="A74" s="2"/>
      <c r="B74" s="2"/>
      <c r="E74" s="416"/>
      <c r="F74" s="416"/>
      <c r="G74" s="416"/>
      <c r="H74" s="416"/>
      <c r="I74" s="416"/>
      <c r="J74" s="416"/>
      <c r="K74" s="416"/>
      <c r="L74" s="2"/>
      <c r="M74" s="416"/>
      <c r="N74" s="416"/>
      <c r="O74" s="416"/>
      <c r="P74" s="416"/>
      <c r="Q74" s="416"/>
      <c r="R74" s="2"/>
      <c r="S74" s="2"/>
      <c r="T74" s="2"/>
      <c r="U74" s="2"/>
      <c r="V74" s="2"/>
    </row>
    <row r="75" spans="1:22" ht="15.75">
      <c r="A75" s="2"/>
      <c r="B75" s="2"/>
      <c r="E75" s="416"/>
      <c r="F75" s="416"/>
      <c r="G75" s="416"/>
      <c r="H75" s="416"/>
      <c r="I75" s="416"/>
      <c r="J75" s="416"/>
      <c r="K75" s="416"/>
      <c r="L75" s="2"/>
      <c r="M75" s="416"/>
      <c r="N75" s="416"/>
      <c r="O75" s="416"/>
      <c r="P75" s="416"/>
      <c r="Q75" s="416"/>
      <c r="R75" s="2"/>
      <c r="S75" s="2"/>
      <c r="T75" s="2"/>
      <c r="U75" s="2"/>
      <c r="V75" s="2"/>
    </row>
    <row r="76" spans="1:22" ht="15.75">
      <c r="A76" s="2"/>
      <c r="B76" s="2"/>
      <c r="E76" s="416"/>
      <c r="F76" s="416"/>
      <c r="G76" s="416"/>
      <c r="H76" s="416"/>
      <c r="I76" s="416"/>
      <c r="J76" s="416"/>
      <c r="K76" s="416"/>
      <c r="L76" s="2"/>
      <c r="M76" s="416"/>
      <c r="N76" s="416"/>
      <c r="O76" s="416"/>
      <c r="P76" s="416"/>
      <c r="Q76" s="416"/>
      <c r="R76" s="2"/>
      <c r="S76" s="2"/>
      <c r="T76" s="2"/>
      <c r="U76" s="2"/>
      <c r="V76" s="2"/>
    </row>
    <row r="77" spans="1:22" ht="15.75">
      <c r="A77" s="2"/>
      <c r="B77" s="2"/>
      <c r="E77" s="416"/>
      <c r="F77" s="416"/>
      <c r="G77" s="416"/>
      <c r="H77" s="416"/>
      <c r="I77" s="416"/>
      <c r="J77" s="416"/>
      <c r="K77" s="416"/>
      <c r="L77" s="2"/>
      <c r="M77" s="416"/>
      <c r="N77" s="416"/>
      <c r="O77" s="416"/>
      <c r="P77" s="416"/>
      <c r="Q77" s="416"/>
      <c r="R77" s="2"/>
      <c r="S77" s="2"/>
      <c r="T77" s="2"/>
      <c r="U77" s="2"/>
      <c r="V77" s="2"/>
    </row>
    <row r="78" spans="1:22" ht="15.75">
      <c r="A78" s="2"/>
      <c r="B78" s="2"/>
      <c r="E78" s="416"/>
      <c r="F78" s="416"/>
      <c r="G78" s="416"/>
      <c r="H78" s="416"/>
      <c r="I78" s="416"/>
      <c r="J78" s="416"/>
      <c r="K78" s="416"/>
      <c r="L78" s="2"/>
      <c r="M78" s="416"/>
      <c r="N78" s="416"/>
      <c r="O78" s="416"/>
      <c r="P78" s="416"/>
      <c r="Q78" s="416"/>
      <c r="R78" s="2"/>
      <c r="S78" s="2"/>
      <c r="T78" s="2"/>
      <c r="U78" s="2"/>
      <c r="V78" s="2"/>
    </row>
    <row r="79" spans="1:22" ht="15.75">
      <c r="A79" s="2"/>
      <c r="B79" s="2"/>
      <c r="E79" s="416"/>
      <c r="F79" s="416"/>
      <c r="G79" s="416"/>
      <c r="H79" s="416"/>
      <c r="I79" s="416"/>
      <c r="J79" s="416"/>
      <c r="K79" s="416"/>
      <c r="L79" s="2"/>
      <c r="M79" s="416"/>
      <c r="N79" s="416"/>
      <c r="O79" s="416"/>
      <c r="P79" s="416"/>
      <c r="Q79" s="416"/>
      <c r="R79" s="2"/>
      <c r="S79" s="2"/>
      <c r="T79" s="2"/>
      <c r="U79" s="2"/>
      <c r="V79" s="2"/>
    </row>
    <row r="80" spans="1:22" ht="15.75">
      <c r="A80" s="2"/>
      <c r="B80" s="2"/>
      <c r="E80" s="416"/>
      <c r="F80" s="416"/>
      <c r="G80" s="416"/>
      <c r="H80" s="416"/>
      <c r="I80" s="416"/>
      <c r="J80" s="416"/>
      <c r="K80" s="416"/>
      <c r="L80" s="2"/>
      <c r="M80" s="416"/>
      <c r="N80" s="416"/>
      <c r="O80" s="416"/>
      <c r="P80" s="416"/>
      <c r="Q80" s="416"/>
      <c r="R80" s="2"/>
      <c r="S80" s="2"/>
      <c r="T80" s="2"/>
      <c r="U80" s="2"/>
      <c r="V80" s="2"/>
    </row>
    <row r="81" spans="1:22" ht="15.75">
      <c r="A81" s="2"/>
      <c r="B81" s="2"/>
      <c r="E81" s="416"/>
      <c r="F81" s="416"/>
      <c r="G81" s="416"/>
      <c r="H81" s="416"/>
      <c r="I81" s="416"/>
      <c r="J81" s="416"/>
      <c r="K81" s="416"/>
      <c r="L81" s="2"/>
      <c r="M81" s="416"/>
      <c r="N81" s="416"/>
      <c r="O81" s="416"/>
      <c r="P81" s="416"/>
      <c r="Q81" s="416"/>
      <c r="R81" s="2"/>
      <c r="S81" s="2"/>
      <c r="T81" s="2"/>
      <c r="U81" s="2"/>
      <c r="V81" s="2"/>
    </row>
    <row r="82" spans="1:22" ht="15.75">
      <c r="A82" s="2"/>
      <c r="B82" s="2"/>
      <c r="E82" s="416"/>
      <c r="F82" s="416"/>
      <c r="G82" s="416"/>
      <c r="H82" s="416"/>
      <c r="I82" s="416"/>
      <c r="J82" s="416"/>
      <c r="K82" s="416"/>
      <c r="L82" s="2"/>
      <c r="M82" s="416"/>
      <c r="N82" s="416"/>
      <c r="O82" s="416"/>
      <c r="P82" s="416"/>
      <c r="Q82" s="416"/>
      <c r="R82" s="2"/>
      <c r="S82" s="2"/>
      <c r="T82" s="2"/>
      <c r="U82" s="2"/>
      <c r="V82" s="2"/>
    </row>
    <row r="83" spans="1:22" ht="15.75">
      <c r="A83" s="2"/>
      <c r="B83" s="2"/>
      <c r="E83" s="416"/>
      <c r="F83" s="416"/>
      <c r="G83" s="416"/>
      <c r="H83" s="416"/>
      <c r="I83" s="416"/>
      <c r="J83" s="416"/>
      <c r="K83" s="416"/>
      <c r="L83" s="2"/>
      <c r="M83" s="416"/>
      <c r="N83" s="416"/>
      <c r="O83" s="416"/>
      <c r="P83" s="416"/>
      <c r="Q83" s="416"/>
      <c r="R83" s="2"/>
      <c r="S83" s="2"/>
      <c r="T83" s="2"/>
      <c r="U83" s="2"/>
      <c r="V83" s="2"/>
    </row>
    <row r="84" spans="1:22" ht="15.75">
      <c r="A84" s="2"/>
      <c r="B84" s="2"/>
      <c r="E84" s="416"/>
      <c r="F84" s="416"/>
      <c r="G84" s="416"/>
      <c r="H84" s="416"/>
      <c r="I84" s="416"/>
      <c r="J84" s="416"/>
      <c r="K84" s="416"/>
      <c r="L84" s="2"/>
      <c r="M84" s="416"/>
      <c r="N84" s="416"/>
      <c r="O84" s="416"/>
      <c r="P84" s="416"/>
      <c r="Q84" s="416"/>
      <c r="R84" s="2"/>
      <c r="S84" s="2"/>
      <c r="T84" s="2"/>
      <c r="U84" s="2"/>
      <c r="V84" s="2"/>
    </row>
    <row r="85" spans="1:22" ht="15.75">
      <c r="A85" s="2"/>
      <c r="B85" s="2"/>
      <c r="E85" s="416"/>
      <c r="F85" s="416"/>
      <c r="G85" s="416"/>
      <c r="H85" s="416"/>
      <c r="I85" s="416"/>
      <c r="J85" s="416"/>
      <c r="K85" s="416"/>
      <c r="L85" s="2"/>
      <c r="M85" s="416"/>
      <c r="N85" s="416"/>
      <c r="O85" s="416"/>
      <c r="P85" s="416"/>
      <c r="Q85" s="416"/>
      <c r="R85" s="2"/>
      <c r="S85" s="2"/>
      <c r="T85" s="2"/>
      <c r="U85" s="2"/>
      <c r="V85" s="2"/>
    </row>
    <row r="86" spans="1:22" ht="15.75">
      <c r="A86" s="2"/>
      <c r="B86" s="2"/>
      <c r="E86" s="416"/>
      <c r="F86" s="416"/>
      <c r="G86" s="416"/>
      <c r="H86" s="416"/>
      <c r="I86" s="416"/>
      <c r="J86" s="416"/>
      <c r="K86" s="416"/>
      <c r="L86" s="2"/>
      <c r="M86" s="416"/>
      <c r="N86" s="416"/>
      <c r="O86" s="416"/>
      <c r="P86" s="416"/>
      <c r="Q86" s="416"/>
      <c r="R86" s="2"/>
      <c r="S86" s="2"/>
      <c r="T86" s="2"/>
      <c r="U86" s="2"/>
      <c r="V86" s="2"/>
    </row>
    <row r="87" spans="1:22" ht="15.75">
      <c r="A87" s="2"/>
      <c r="B87" s="2"/>
      <c r="E87" s="416"/>
      <c r="F87" s="416"/>
      <c r="G87" s="416"/>
      <c r="H87" s="416"/>
      <c r="I87" s="416"/>
      <c r="J87" s="416"/>
      <c r="K87" s="416"/>
      <c r="L87" s="2"/>
      <c r="M87" s="416"/>
      <c r="N87" s="416"/>
      <c r="O87" s="416"/>
      <c r="P87" s="416"/>
      <c r="Q87" s="416"/>
      <c r="R87" s="2"/>
      <c r="S87" s="2"/>
      <c r="T87" s="2"/>
      <c r="U87" s="2"/>
      <c r="V87" s="2"/>
    </row>
    <row r="88" spans="1:22" ht="15.75">
      <c r="A88" s="2"/>
      <c r="B88" s="2"/>
      <c r="E88" s="416"/>
      <c r="F88" s="416"/>
      <c r="G88" s="416"/>
      <c r="H88" s="416"/>
      <c r="I88" s="416"/>
      <c r="J88" s="416"/>
      <c r="K88" s="416"/>
      <c r="L88" s="2"/>
      <c r="M88" s="416"/>
      <c r="N88" s="416"/>
      <c r="O88" s="416"/>
      <c r="P88" s="416"/>
      <c r="Q88" s="416"/>
      <c r="R88" s="2"/>
      <c r="S88" s="2"/>
      <c r="T88" s="2"/>
      <c r="U88" s="2"/>
      <c r="V88" s="2"/>
    </row>
    <row r="89" spans="1:22" ht="15.75">
      <c r="A89" s="2"/>
      <c r="B89" s="2"/>
      <c r="E89" s="416"/>
      <c r="F89" s="416"/>
      <c r="G89" s="416"/>
      <c r="H89" s="416"/>
      <c r="I89" s="416"/>
      <c r="J89" s="416"/>
      <c r="K89" s="416"/>
      <c r="L89" s="2"/>
      <c r="M89" s="416"/>
      <c r="N89" s="416"/>
      <c r="O89" s="416"/>
      <c r="P89" s="416"/>
      <c r="Q89" s="416"/>
      <c r="R89" s="2"/>
      <c r="S89" s="2"/>
      <c r="T89" s="2"/>
      <c r="U89" s="2"/>
      <c r="V89" s="2"/>
    </row>
    <row r="90" spans="1:22" ht="15.75">
      <c r="A90" s="2"/>
      <c r="B90" s="2"/>
      <c r="E90" s="416"/>
      <c r="F90" s="416"/>
      <c r="G90" s="416"/>
      <c r="H90" s="416"/>
      <c r="I90" s="416"/>
      <c r="J90" s="416"/>
      <c r="K90" s="416"/>
      <c r="L90" s="2"/>
      <c r="M90" s="416"/>
      <c r="N90" s="416"/>
      <c r="O90" s="416"/>
      <c r="P90" s="416"/>
      <c r="Q90" s="416"/>
      <c r="R90" s="2"/>
      <c r="S90" s="2"/>
      <c r="T90" s="2"/>
      <c r="U90" s="2"/>
      <c r="V90" s="2"/>
    </row>
    <row r="91" spans="1:22" ht="15.75">
      <c r="A91" s="2"/>
      <c r="B91" s="2"/>
      <c r="E91" s="416"/>
      <c r="F91" s="416"/>
      <c r="G91" s="416"/>
      <c r="H91" s="416"/>
      <c r="I91" s="416"/>
      <c r="J91" s="416"/>
      <c r="K91" s="416"/>
      <c r="L91" s="2"/>
      <c r="M91" s="416"/>
      <c r="N91" s="416"/>
      <c r="O91" s="416"/>
      <c r="P91" s="416"/>
      <c r="Q91" s="416"/>
      <c r="R91" s="2"/>
      <c r="S91" s="2"/>
      <c r="T91" s="2"/>
      <c r="U91" s="2"/>
      <c r="V91" s="2"/>
    </row>
    <row r="92" spans="1:22" ht="15.75">
      <c r="A92" s="2"/>
      <c r="B92" s="2"/>
      <c r="E92" s="416"/>
      <c r="F92" s="416"/>
      <c r="G92" s="416"/>
      <c r="H92" s="416"/>
      <c r="I92" s="416"/>
      <c r="J92" s="416"/>
      <c r="K92" s="416"/>
      <c r="L92" s="2"/>
      <c r="M92" s="416"/>
      <c r="N92" s="416"/>
      <c r="O92" s="416"/>
      <c r="P92" s="416"/>
      <c r="Q92" s="416"/>
      <c r="R92" s="2"/>
      <c r="S92" s="2"/>
      <c r="T92" s="2"/>
      <c r="U92" s="2"/>
      <c r="V92" s="2"/>
    </row>
    <row r="93" spans="1:22" ht="15.75">
      <c r="A93" s="2"/>
      <c r="B93" s="2"/>
      <c r="E93" s="416"/>
      <c r="F93" s="416"/>
      <c r="G93" s="416"/>
      <c r="H93" s="416"/>
      <c r="I93" s="416"/>
      <c r="J93" s="416"/>
      <c r="K93" s="416"/>
      <c r="L93" s="2"/>
      <c r="M93" s="416"/>
      <c r="N93" s="416"/>
      <c r="O93" s="416"/>
      <c r="P93" s="416"/>
      <c r="Q93" s="416"/>
      <c r="R93" s="2"/>
      <c r="S93" s="2"/>
      <c r="T93" s="2"/>
      <c r="U93" s="2"/>
      <c r="V93" s="2"/>
    </row>
    <row r="94" spans="1:22" ht="15.75">
      <c r="A94" s="2"/>
      <c r="B94" s="2"/>
      <c r="E94" s="416"/>
      <c r="F94" s="416"/>
      <c r="G94" s="416"/>
      <c r="H94" s="416"/>
      <c r="I94" s="416"/>
      <c r="J94" s="416"/>
      <c r="K94" s="416"/>
      <c r="L94" s="2"/>
      <c r="M94" s="416"/>
      <c r="N94" s="416"/>
      <c r="O94" s="416"/>
      <c r="P94" s="416"/>
      <c r="Q94" s="416"/>
      <c r="R94" s="2"/>
      <c r="S94" s="2"/>
      <c r="T94" s="2"/>
      <c r="U94" s="2"/>
      <c r="V94" s="2"/>
    </row>
    <row r="95" spans="1:22" ht="15.75">
      <c r="A95" s="2"/>
      <c r="B95" s="2"/>
      <c r="E95" s="416"/>
      <c r="F95" s="416"/>
      <c r="G95" s="416"/>
      <c r="H95" s="416"/>
      <c r="I95" s="416"/>
      <c r="J95" s="416"/>
      <c r="K95" s="416"/>
      <c r="L95" s="2"/>
      <c r="M95" s="416"/>
      <c r="N95" s="416"/>
      <c r="O95" s="416"/>
      <c r="P95" s="416"/>
      <c r="Q95" s="416"/>
      <c r="R95" s="2"/>
      <c r="S95" s="2"/>
      <c r="T95" s="2"/>
      <c r="U95" s="2"/>
      <c r="V95" s="2"/>
    </row>
    <row r="96" spans="1:22" ht="15.75">
      <c r="A96" s="2"/>
      <c r="B96" s="2"/>
      <c r="E96" s="416"/>
      <c r="F96" s="416"/>
      <c r="G96" s="416"/>
      <c r="H96" s="416"/>
      <c r="I96" s="416"/>
      <c r="J96" s="416"/>
      <c r="K96" s="416"/>
      <c r="L96" s="2"/>
      <c r="M96" s="416"/>
      <c r="N96" s="416"/>
      <c r="O96" s="416"/>
      <c r="P96" s="416"/>
      <c r="Q96" s="416"/>
      <c r="R96" s="2"/>
      <c r="S96" s="2"/>
      <c r="T96" s="2"/>
      <c r="U96" s="2"/>
      <c r="V96" s="2"/>
    </row>
    <row r="97" spans="1:22" ht="15.75">
      <c r="A97" s="2"/>
      <c r="B97" s="2"/>
      <c r="E97" s="416"/>
      <c r="F97" s="416"/>
      <c r="G97" s="416"/>
      <c r="H97" s="416"/>
      <c r="I97" s="416"/>
      <c r="J97" s="416"/>
      <c r="K97" s="416"/>
      <c r="L97" s="2"/>
      <c r="M97" s="416"/>
      <c r="N97" s="416"/>
      <c r="O97" s="416"/>
      <c r="P97" s="416"/>
      <c r="Q97" s="416"/>
      <c r="R97" s="2"/>
      <c r="S97" s="2"/>
      <c r="T97" s="2"/>
      <c r="U97" s="2"/>
      <c r="V97" s="2"/>
    </row>
    <row r="98" spans="1:22" ht="15.75">
      <c r="A98" s="2"/>
      <c r="B98" s="2"/>
      <c r="E98" s="416"/>
      <c r="F98" s="416"/>
      <c r="G98" s="416"/>
      <c r="H98" s="416"/>
      <c r="I98" s="416"/>
      <c r="J98" s="416"/>
      <c r="K98" s="416"/>
      <c r="L98" s="2"/>
      <c r="M98" s="416"/>
      <c r="N98" s="416"/>
      <c r="O98" s="416"/>
      <c r="P98" s="416"/>
      <c r="Q98" s="416"/>
      <c r="R98" s="2"/>
      <c r="S98" s="2"/>
      <c r="T98" s="2"/>
      <c r="U98" s="2"/>
      <c r="V98" s="2"/>
    </row>
    <row r="99" spans="1:22" ht="15.75">
      <c r="A99" s="2"/>
      <c r="B99" s="2"/>
      <c r="E99" s="416"/>
      <c r="F99" s="416"/>
      <c r="G99" s="416"/>
      <c r="H99" s="416"/>
      <c r="I99" s="416"/>
      <c r="J99" s="416"/>
      <c r="K99" s="416"/>
      <c r="L99" s="2"/>
      <c r="M99" s="416"/>
      <c r="N99" s="416"/>
      <c r="O99" s="416"/>
      <c r="P99" s="416"/>
      <c r="Q99" s="416"/>
      <c r="R99" s="2"/>
      <c r="S99" s="2"/>
      <c r="T99" s="2"/>
      <c r="U99" s="2"/>
      <c r="V99" s="2"/>
    </row>
    <row r="100" spans="1:22">
      <c r="A100" s="29"/>
      <c r="B100" s="29"/>
      <c r="C100" s="29"/>
      <c r="D100" s="29"/>
      <c r="E100" s="29"/>
      <c r="F100" s="29"/>
      <c r="G100" s="29"/>
      <c r="H100" s="29"/>
      <c r="I100" s="29"/>
      <c r="J100" s="29"/>
      <c r="K100" s="29"/>
      <c r="L100" s="29"/>
      <c r="M100" s="29"/>
      <c r="N100" s="29"/>
      <c r="O100" s="29"/>
      <c r="P100" s="29"/>
      <c r="Q100" s="29"/>
      <c r="R100" s="29"/>
      <c r="S100" s="29"/>
      <c r="T100" s="29"/>
      <c r="U100" s="29"/>
      <c r="V100" s="29"/>
    </row>
    <row r="101" spans="1:22">
      <c r="A101" s="29"/>
      <c r="B101" s="29"/>
      <c r="C101" s="29"/>
      <c r="D101" s="29"/>
      <c r="E101" s="29"/>
      <c r="F101" s="29"/>
      <c r="G101" s="29"/>
      <c r="H101" s="29"/>
      <c r="I101" s="29"/>
      <c r="J101" s="29"/>
      <c r="K101" s="29"/>
      <c r="L101" s="29"/>
      <c r="M101" s="29"/>
      <c r="N101" s="29"/>
      <c r="O101" s="29"/>
      <c r="P101" s="29"/>
      <c r="Q101" s="29"/>
      <c r="R101" s="29"/>
      <c r="S101" s="29"/>
      <c r="T101" s="29"/>
      <c r="U101" s="29"/>
      <c r="V101" s="29"/>
    </row>
    <row r="102" spans="1:22">
      <c r="A102" s="29"/>
      <c r="B102" s="29"/>
      <c r="C102" s="29"/>
      <c r="D102" s="29"/>
      <c r="E102" s="29"/>
      <c r="F102" s="29"/>
      <c r="G102" s="29"/>
      <c r="H102" s="29"/>
      <c r="I102" s="29"/>
      <c r="J102" s="29"/>
      <c r="K102" s="29"/>
      <c r="L102" s="29"/>
      <c r="M102" s="29"/>
      <c r="N102" s="29"/>
      <c r="O102" s="29"/>
      <c r="P102" s="29"/>
      <c r="Q102" s="29"/>
      <c r="R102" s="29"/>
      <c r="S102" s="29"/>
      <c r="T102" s="29"/>
      <c r="U102" s="29"/>
      <c r="V102" s="29"/>
    </row>
    <row r="103" spans="1:22">
      <c r="A103" s="29"/>
      <c r="B103" s="29"/>
      <c r="C103" s="29"/>
      <c r="D103" s="29"/>
      <c r="E103" s="29"/>
      <c r="F103" s="29"/>
      <c r="G103" s="29"/>
      <c r="H103" s="29"/>
      <c r="I103" s="29"/>
      <c r="J103" s="29"/>
      <c r="K103" s="29"/>
      <c r="L103" s="29"/>
      <c r="M103" s="29"/>
      <c r="N103" s="29"/>
      <c r="O103" s="29"/>
      <c r="P103" s="29"/>
      <c r="Q103" s="29"/>
      <c r="R103" s="29"/>
      <c r="S103" s="29"/>
      <c r="T103" s="29"/>
      <c r="U103" s="29"/>
      <c r="V103" s="29"/>
    </row>
    <row r="104" spans="1:22">
      <c r="A104" s="29"/>
      <c r="B104" s="29"/>
      <c r="C104" s="29"/>
      <c r="D104" s="29"/>
      <c r="E104" s="29"/>
      <c r="F104" s="29"/>
      <c r="G104" s="29"/>
      <c r="H104" s="29"/>
      <c r="I104" s="29"/>
      <c r="J104" s="29"/>
      <c r="K104" s="29"/>
      <c r="L104" s="29"/>
      <c r="M104" s="29"/>
      <c r="N104" s="29"/>
      <c r="O104" s="29"/>
      <c r="P104" s="29"/>
      <c r="Q104" s="29"/>
      <c r="R104" s="29"/>
      <c r="S104" s="29"/>
      <c r="T104" s="29"/>
      <c r="U104" s="29"/>
      <c r="V104" s="29"/>
    </row>
    <row r="105" spans="1:22">
      <c r="A105" s="29"/>
      <c r="B105" s="29"/>
      <c r="C105" s="29"/>
      <c r="D105" s="29"/>
      <c r="E105" s="29"/>
      <c r="F105" s="29"/>
      <c r="G105" s="29"/>
      <c r="H105" s="29"/>
      <c r="I105" s="29"/>
      <c r="J105" s="29"/>
      <c r="K105" s="29"/>
      <c r="L105" s="29"/>
      <c r="M105" s="29"/>
      <c r="N105" s="29"/>
      <c r="O105" s="29"/>
      <c r="P105" s="29"/>
      <c r="Q105" s="29"/>
      <c r="R105" s="29"/>
      <c r="S105" s="29"/>
      <c r="T105" s="29"/>
      <c r="U105" s="29"/>
      <c r="V105" s="29"/>
    </row>
    <row r="106" spans="1:22">
      <c r="A106" s="29"/>
      <c r="B106" s="29"/>
      <c r="C106" s="29"/>
      <c r="D106" s="29"/>
      <c r="E106" s="29"/>
      <c r="F106" s="29"/>
      <c r="G106" s="29"/>
      <c r="H106" s="29"/>
      <c r="I106" s="29"/>
      <c r="J106" s="29"/>
      <c r="K106" s="29"/>
      <c r="L106" s="29"/>
      <c r="M106" s="29"/>
      <c r="N106" s="29"/>
      <c r="O106" s="29"/>
      <c r="P106" s="29"/>
      <c r="Q106" s="29"/>
      <c r="R106" s="29"/>
      <c r="S106" s="29"/>
      <c r="T106" s="29"/>
      <c r="U106" s="29"/>
      <c r="V106" s="29"/>
    </row>
    <row r="107" spans="1:22" ht="12.7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row>
    <row r="108" spans="1:22" ht="12.7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row>
    <row r="109" spans="1:22" ht="12.7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row>
    <row r="110" spans="1:22" ht="12.7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row>
    <row r="111" spans="1:22" ht="12.7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row>
    <row r="112" spans="1:22" ht="12.7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row>
    <row r="113" spans="1:22" ht="12.7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row>
    <row r="114" spans="1:22" ht="12.7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row>
    <row r="115" spans="1:22" ht="12.7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row>
    <row r="116" spans="1:22" ht="12.7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row>
    <row r="117" spans="1:22" ht="12.7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row>
    <row r="118" spans="1:22">
      <c r="A118" s="29"/>
      <c r="B118" s="29"/>
      <c r="C118" s="29"/>
      <c r="D118" s="29"/>
      <c r="E118" s="29"/>
      <c r="F118" s="29"/>
      <c r="G118" s="29"/>
      <c r="H118" s="29"/>
      <c r="I118" s="29"/>
      <c r="J118" s="29"/>
      <c r="K118" s="29"/>
      <c r="L118" s="29"/>
      <c r="M118" s="29"/>
      <c r="N118" s="29"/>
      <c r="O118" s="29"/>
      <c r="P118" s="29"/>
      <c r="Q118" s="29"/>
      <c r="R118" s="29"/>
      <c r="S118" s="29"/>
      <c r="T118" s="29"/>
      <c r="U118" s="29"/>
      <c r="V118" s="29"/>
    </row>
    <row r="119" spans="1:22">
      <c r="A119" s="29"/>
      <c r="B119" s="29"/>
      <c r="C119" s="29"/>
      <c r="D119" s="29"/>
      <c r="E119" s="29"/>
      <c r="F119" s="29"/>
      <c r="G119" s="29"/>
      <c r="H119" s="29"/>
      <c r="I119" s="29"/>
      <c r="J119" s="29"/>
      <c r="K119" s="29"/>
      <c r="L119" s="29"/>
      <c r="M119" s="29"/>
      <c r="N119" s="29"/>
      <c r="O119" s="29"/>
      <c r="P119" s="29"/>
      <c r="Q119" s="29"/>
      <c r="R119" s="29"/>
      <c r="S119" s="29"/>
      <c r="T119" s="29"/>
      <c r="U119" s="29"/>
      <c r="V119" s="29"/>
    </row>
    <row r="120" spans="1:22">
      <c r="A120" s="29"/>
      <c r="B120" s="29"/>
      <c r="C120" s="29"/>
      <c r="D120" s="29"/>
      <c r="E120" s="29"/>
      <c r="F120" s="29"/>
      <c r="G120" s="29"/>
      <c r="H120" s="29"/>
      <c r="I120" s="29"/>
      <c r="J120" s="29"/>
      <c r="K120" s="29"/>
      <c r="L120" s="29"/>
      <c r="M120" s="29"/>
      <c r="N120" s="29"/>
      <c r="O120" s="29"/>
      <c r="P120" s="29"/>
      <c r="Q120" s="29"/>
      <c r="R120" s="29"/>
      <c r="S120" s="29"/>
      <c r="T120" s="29"/>
      <c r="U120" s="29"/>
      <c r="V120" s="29"/>
    </row>
    <row r="121" spans="1:22">
      <c r="A121" s="29"/>
      <c r="B121" s="29"/>
      <c r="C121" s="29"/>
      <c r="D121" s="29"/>
      <c r="E121" s="29"/>
      <c r="F121" s="29"/>
      <c r="G121" s="29"/>
      <c r="H121" s="29"/>
      <c r="I121" s="29"/>
      <c r="J121" s="29"/>
      <c r="K121" s="29"/>
      <c r="L121" s="29"/>
      <c r="M121" s="29"/>
      <c r="N121" s="29"/>
      <c r="O121" s="29"/>
      <c r="P121" s="29"/>
      <c r="Q121" s="29"/>
      <c r="R121" s="29"/>
      <c r="S121" s="29"/>
      <c r="T121" s="29"/>
      <c r="U121" s="29"/>
      <c r="V121" s="29"/>
    </row>
    <row r="122" spans="1:22">
      <c r="A122" s="29"/>
      <c r="B122" s="29"/>
      <c r="C122" s="29"/>
      <c r="D122" s="29"/>
      <c r="E122" s="29"/>
      <c r="F122" s="29"/>
      <c r="G122" s="29"/>
      <c r="H122" s="29"/>
      <c r="I122" s="29"/>
      <c r="J122" s="29"/>
      <c r="K122" s="29"/>
      <c r="L122" s="29"/>
      <c r="M122" s="29"/>
      <c r="N122" s="29"/>
      <c r="O122" s="29"/>
      <c r="P122" s="29"/>
      <c r="Q122" s="29"/>
      <c r="R122" s="29"/>
      <c r="S122" s="29"/>
      <c r="T122" s="29"/>
      <c r="U122" s="29"/>
      <c r="V122" s="29"/>
    </row>
    <row r="123" spans="1:22">
      <c r="A123" s="29"/>
      <c r="B123" s="29"/>
      <c r="C123" s="29"/>
      <c r="D123" s="29"/>
      <c r="E123" s="29"/>
      <c r="F123" s="29"/>
      <c r="G123" s="29"/>
      <c r="H123" s="29"/>
      <c r="I123" s="29"/>
      <c r="J123" s="29"/>
      <c r="K123" s="29"/>
      <c r="L123" s="29"/>
      <c r="M123" s="29"/>
      <c r="N123" s="29"/>
      <c r="O123" s="29"/>
      <c r="P123" s="29"/>
      <c r="Q123" s="29"/>
      <c r="R123" s="29"/>
      <c r="S123" s="29"/>
      <c r="T123" s="29"/>
      <c r="U123" s="29"/>
      <c r="V123" s="29"/>
    </row>
    <row r="124" spans="1:22">
      <c r="A124" s="29"/>
      <c r="B124" s="29"/>
      <c r="C124" s="29"/>
      <c r="D124" s="29"/>
      <c r="E124" s="29"/>
      <c r="F124" s="29"/>
      <c r="G124" s="29"/>
      <c r="H124" s="29"/>
      <c r="I124" s="29"/>
      <c r="J124" s="29"/>
      <c r="K124" s="29"/>
      <c r="L124" s="29"/>
      <c r="M124" s="29"/>
      <c r="N124" s="29"/>
      <c r="O124" s="29"/>
      <c r="P124" s="29"/>
      <c r="Q124" s="29"/>
      <c r="R124" s="29"/>
      <c r="S124" s="29"/>
      <c r="T124" s="29"/>
      <c r="U124" s="29"/>
      <c r="V124" s="29"/>
    </row>
    <row r="125" spans="1:22">
      <c r="A125" s="29"/>
      <c r="B125" s="29"/>
      <c r="C125" s="29"/>
      <c r="D125" s="29"/>
      <c r="E125" s="29"/>
      <c r="F125" s="29"/>
      <c r="G125" s="29"/>
      <c r="H125" s="29"/>
      <c r="I125" s="29"/>
      <c r="J125" s="29"/>
      <c r="K125" s="29"/>
      <c r="L125" s="29"/>
      <c r="M125" s="29"/>
      <c r="N125" s="29"/>
      <c r="O125" s="29"/>
      <c r="P125" s="29"/>
      <c r="Q125" s="29"/>
      <c r="R125" s="29"/>
      <c r="S125" s="29"/>
      <c r="T125" s="29"/>
      <c r="U125" s="29"/>
      <c r="V125" s="29"/>
    </row>
    <row r="126" spans="1:22">
      <c r="A126" s="29"/>
      <c r="B126" s="29"/>
      <c r="C126" s="29"/>
      <c r="D126" s="29"/>
      <c r="E126" s="29"/>
      <c r="F126" s="29"/>
      <c r="G126" s="29"/>
      <c r="H126" s="29"/>
      <c r="I126" s="29"/>
      <c r="J126" s="29"/>
      <c r="K126" s="29"/>
      <c r="L126" s="29"/>
      <c r="M126" s="29"/>
      <c r="N126" s="29"/>
      <c r="O126" s="29"/>
      <c r="P126" s="29"/>
      <c r="Q126" s="29"/>
      <c r="R126" s="29"/>
      <c r="S126" s="29"/>
      <c r="T126" s="29"/>
      <c r="U126" s="29"/>
      <c r="V126" s="29"/>
    </row>
    <row r="127" spans="1:22">
      <c r="A127" s="29"/>
      <c r="B127" s="29"/>
      <c r="C127" s="29"/>
      <c r="D127" s="29"/>
      <c r="E127" s="29"/>
      <c r="F127" s="29"/>
      <c r="G127" s="29"/>
      <c r="H127" s="29"/>
      <c r="I127" s="29"/>
      <c r="J127" s="29"/>
      <c r="K127" s="29"/>
      <c r="L127" s="29"/>
      <c r="M127" s="29"/>
      <c r="N127" s="29"/>
      <c r="O127" s="29"/>
      <c r="P127" s="29"/>
      <c r="Q127" s="29"/>
      <c r="R127" s="29"/>
      <c r="S127" s="29"/>
      <c r="T127" s="29"/>
      <c r="U127" s="29"/>
      <c r="V127" s="29"/>
    </row>
    <row r="128" spans="1:22">
      <c r="A128" s="29"/>
      <c r="B128" s="29"/>
      <c r="C128" s="29"/>
      <c r="D128" s="29"/>
      <c r="E128" s="29"/>
      <c r="F128" s="29"/>
      <c r="G128" s="29"/>
      <c r="H128" s="29"/>
      <c r="I128" s="29"/>
      <c r="J128" s="29"/>
      <c r="K128" s="29"/>
      <c r="L128" s="29"/>
      <c r="M128" s="29"/>
      <c r="N128" s="29"/>
      <c r="O128" s="29"/>
      <c r="P128" s="29"/>
      <c r="Q128" s="29"/>
      <c r="R128" s="29"/>
      <c r="S128" s="29"/>
      <c r="T128" s="29"/>
      <c r="U128" s="29"/>
      <c r="V128" s="29"/>
    </row>
    <row r="129" spans="1:22">
      <c r="A129" s="29"/>
      <c r="B129" s="29"/>
      <c r="C129" s="29"/>
      <c r="D129" s="29"/>
      <c r="E129" s="29"/>
      <c r="F129" s="29"/>
      <c r="G129" s="29"/>
      <c r="H129" s="29"/>
      <c r="I129" s="29"/>
      <c r="J129" s="29"/>
      <c r="K129" s="29"/>
      <c r="L129" s="29"/>
      <c r="M129" s="29"/>
      <c r="N129" s="29"/>
      <c r="O129" s="29"/>
      <c r="P129" s="29"/>
      <c r="Q129" s="29"/>
      <c r="R129" s="29"/>
      <c r="S129" s="29"/>
      <c r="T129" s="29"/>
      <c r="U129" s="29"/>
      <c r="V129" s="29"/>
    </row>
    <row r="130" spans="1:22">
      <c r="A130" s="29"/>
      <c r="B130" s="29"/>
      <c r="C130" s="29"/>
      <c r="D130" s="29"/>
      <c r="E130" s="29"/>
      <c r="F130" s="29"/>
      <c r="G130" s="29"/>
      <c r="H130" s="29"/>
      <c r="I130" s="29"/>
      <c r="J130" s="29"/>
      <c r="K130" s="29"/>
      <c r="L130" s="29"/>
      <c r="M130" s="29"/>
      <c r="N130" s="29"/>
      <c r="O130" s="29"/>
      <c r="P130" s="29"/>
      <c r="Q130" s="29"/>
      <c r="R130" s="29"/>
      <c r="S130" s="29"/>
      <c r="T130" s="29"/>
      <c r="U130" s="29"/>
      <c r="V130" s="29"/>
    </row>
    <row r="131" spans="1:22">
      <c r="A131" s="29"/>
      <c r="B131" s="29"/>
      <c r="C131" s="29"/>
      <c r="D131" s="29"/>
      <c r="E131" s="29"/>
      <c r="F131" s="29"/>
      <c r="G131" s="29"/>
      <c r="H131" s="29"/>
      <c r="I131" s="29"/>
      <c r="J131" s="29"/>
      <c r="K131" s="29"/>
      <c r="L131" s="29"/>
      <c r="M131" s="29"/>
      <c r="N131" s="29"/>
      <c r="O131" s="29"/>
      <c r="P131" s="29"/>
      <c r="Q131" s="29"/>
      <c r="R131" s="29"/>
      <c r="S131" s="29"/>
      <c r="T131" s="29"/>
      <c r="U131" s="29"/>
      <c r="V131" s="29"/>
    </row>
    <row r="132" spans="1:22">
      <c r="A132" s="29"/>
      <c r="B132" s="29"/>
      <c r="C132" s="29"/>
      <c r="D132" s="29"/>
      <c r="E132" s="29"/>
      <c r="F132" s="29"/>
      <c r="G132" s="29"/>
      <c r="H132" s="29"/>
      <c r="I132" s="29"/>
      <c r="J132" s="29"/>
      <c r="K132" s="29"/>
      <c r="L132" s="29"/>
      <c r="M132" s="29"/>
      <c r="N132" s="29"/>
      <c r="O132" s="29"/>
      <c r="P132" s="29"/>
      <c r="Q132" s="29"/>
      <c r="R132" s="29"/>
      <c r="S132" s="29"/>
      <c r="T132" s="29"/>
      <c r="U132" s="29"/>
      <c r="V132" s="29"/>
    </row>
    <row r="133" spans="1:22">
      <c r="A133" s="29"/>
      <c r="B133" s="29"/>
      <c r="C133" s="29"/>
      <c r="D133" s="29"/>
      <c r="E133" s="29"/>
      <c r="F133" s="29"/>
      <c r="G133" s="29"/>
      <c r="H133" s="29"/>
      <c r="I133" s="29"/>
      <c r="J133" s="29"/>
      <c r="K133" s="29"/>
      <c r="L133" s="29"/>
      <c r="M133" s="29"/>
      <c r="N133" s="29"/>
      <c r="O133" s="29"/>
      <c r="P133" s="29"/>
      <c r="Q133" s="29"/>
      <c r="R133" s="29"/>
      <c r="S133" s="29"/>
      <c r="T133" s="29"/>
      <c r="U133" s="29"/>
      <c r="V133" s="29"/>
    </row>
    <row r="134" spans="1:22">
      <c r="A134" s="29"/>
      <c r="B134" s="29"/>
      <c r="C134" s="29"/>
      <c r="D134" s="29"/>
      <c r="E134" s="29"/>
      <c r="F134" s="29"/>
      <c r="G134" s="29"/>
      <c r="H134" s="29"/>
      <c r="I134" s="29"/>
      <c r="J134" s="29"/>
      <c r="K134" s="29"/>
      <c r="L134" s="29"/>
      <c r="M134" s="29"/>
      <c r="N134" s="29"/>
      <c r="O134" s="29"/>
      <c r="P134" s="29"/>
      <c r="Q134" s="29"/>
      <c r="R134" s="29"/>
      <c r="S134" s="29"/>
      <c r="T134" s="29"/>
      <c r="U134" s="29"/>
      <c r="V134" s="29"/>
    </row>
    <row r="135" spans="1:22">
      <c r="A135" s="29"/>
      <c r="B135" s="29"/>
      <c r="C135" s="29"/>
      <c r="D135" s="29"/>
      <c r="E135" s="29"/>
      <c r="F135" s="29"/>
      <c r="G135" s="29"/>
      <c r="H135" s="29"/>
      <c r="I135" s="29"/>
      <c r="J135" s="29"/>
      <c r="K135" s="29"/>
      <c r="L135" s="29"/>
      <c r="M135" s="29"/>
      <c r="N135" s="29"/>
      <c r="O135" s="29"/>
      <c r="P135" s="29"/>
      <c r="Q135" s="29"/>
      <c r="R135" s="29"/>
      <c r="S135" s="29"/>
      <c r="T135" s="29"/>
      <c r="U135" s="29"/>
      <c r="V135" s="29"/>
    </row>
    <row r="136" spans="1:22">
      <c r="A136" s="29"/>
      <c r="B136" s="29"/>
      <c r="C136" s="29"/>
      <c r="D136" s="29"/>
      <c r="E136" s="29"/>
      <c r="F136" s="29"/>
      <c r="G136" s="29"/>
      <c r="H136" s="29"/>
      <c r="I136" s="29"/>
      <c r="J136" s="29"/>
      <c r="K136" s="29"/>
      <c r="L136" s="29"/>
      <c r="M136" s="29"/>
      <c r="N136" s="29"/>
      <c r="O136" s="29"/>
      <c r="P136" s="29"/>
      <c r="Q136" s="29"/>
      <c r="R136" s="29"/>
      <c r="S136" s="29"/>
      <c r="T136" s="29"/>
      <c r="U136" s="29"/>
      <c r="V136" s="29"/>
    </row>
    <row r="137" spans="1:22">
      <c r="A137" s="29"/>
      <c r="B137" s="29"/>
      <c r="C137" s="29"/>
      <c r="D137" s="29"/>
      <c r="E137" s="29"/>
      <c r="F137" s="29"/>
      <c r="G137" s="29"/>
      <c r="H137" s="29"/>
      <c r="I137" s="29"/>
      <c r="J137" s="29"/>
      <c r="K137" s="29"/>
      <c r="L137" s="29"/>
      <c r="M137" s="29"/>
      <c r="N137" s="29"/>
      <c r="O137" s="29"/>
      <c r="P137" s="29"/>
      <c r="Q137" s="29"/>
      <c r="R137" s="29"/>
      <c r="S137" s="29"/>
      <c r="T137" s="29"/>
      <c r="U137" s="29"/>
      <c r="V137" s="29"/>
    </row>
    <row r="138" spans="1:22" ht="12.7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row>
    <row r="139" spans="1:22" ht="12.7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row>
    <row r="140" spans="1:22" ht="12.7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row>
    <row r="141" spans="1:22">
      <c r="A141" s="29"/>
      <c r="B141" s="29"/>
      <c r="C141" s="29"/>
      <c r="D141" s="29"/>
      <c r="E141" s="29"/>
      <c r="F141" s="29"/>
      <c r="G141" s="29"/>
      <c r="H141" s="29"/>
      <c r="I141" s="29"/>
      <c r="J141" s="29"/>
      <c r="K141" s="29"/>
      <c r="L141" s="29"/>
      <c r="M141" s="29"/>
      <c r="N141" s="29"/>
      <c r="O141" s="29"/>
      <c r="P141" s="29"/>
      <c r="Q141" s="29"/>
      <c r="R141" s="29"/>
      <c r="S141" s="29"/>
      <c r="T141" s="29"/>
      <c r="U141" s="29"/>
      <c r="V141" s="29"/>
    </row>
    <row r="142" spans="1:22">
      <c r="A142" s="29"/>
      <c r="B142" s="29"/>
      <c r="C142" s="29"/>
      <c r="D142" s="29"/>
      <c r="E142" s="29"/>
      <c r="F142" s="29"/>
      <c r="G142" s="29"/>
      <c r="H142" s="29"/>
      <c r="I142" s="29"/>
      <c r="J142" s="29"/>
      <c r="K142" s="29"/>
      <c r="L142" s="29"/>
      <c r="M142" s="29"/>
      <c r="N142" s="29"/>
      <c r="O142" s="29"/>
      <c r="P142" s="29"/>
      <c r="Q142" s="29"/>
      <c r="R142" s="29"/>
      <c r="S142" s="29"/>
      <c r="T142" s="29"/>
      <c r="U142" s="29"/>
      <c r="V142" s="29"/>
    </row>
    <row r="143" spans="1:22">
      <c r="A143" s="29"/>
      <c r="B143" s="29"/>
      <c r="C143" s="29"/>
      <c r="D143" s="29"/>
      <c r="E143" s="29"/>
      <c r="F143" s="29"/>
      <c r="G143" s="29"/>
      <c r="H143" s="29"/>
      <c r="I143" s="29"/>
      <c r="J143" s="29"/>
      <c r="K143" s="29"/>
      <c r="L143" s="29"/>
      <c r="M143" s="29"/>
      <c r="N143" s="29"/>
      <c r="O143" s="29"/>
      <c r="P143" s="29"/>
      <c r="Q143" s="29"/>
      <c r="R143" s="29"/>
      <c r="S143" s="29"/>
      <c r="T143" s="29"/>
      <c r="U143" s="29"/>
      <c r="V143" s="29"/>
    </row>
    <row r="144" spans="1:22">
      <c r="A144" s="29"/>
      <c r="B144" s="29"/>
      <c r="C144" s="29"/>
      <c r="D144" s="29"/>
      <c r="E144" s="29"/>
      <c r="F144" s="29"/>
      <c r="G144" s="29"/>
      <c r="H144" s="29"/>
      <c r="I144" s="29"/>
      <c r="J144" s="29"/>
      <c r="K144" s="29"/>
      <c r="L144" s="29"/>
      <c r="M144" s="29"/>
      <c r="N144" s="29"/>
      <c r="O144" s="29"/>
      <c r="P144" s="29"/>
      <c r="Q144" s="29"/>
      <c r="R144" s="29"/>
      <c r="S144" s="29"/>
      <c r="T144" s="29"/>
      <c r="U144" s="29"/>
      <c r="V144" s="29"/>
    </row>
    <row r="145" spans="1:22">
      <c r="A145" s="29"/>
      <c r="B145" s="29"/>
      <c r="C145" s="29"/>
      <c r="D145" s="29"/>
      <c r="E145" s="29"/>
      <c r="F145" s="29"/>
      <c r="G145" s="29"/>
      <c r="H145" s="29"/>
      <c r="I145" s="29"/>
      <c r="J145" s="29"/>
      <c r="K145" s="29"/>
      <c r="L145" s="29"/>
      <c r="M145" s="29"/>
      <c r="N145" s="29"/>
      <c r="O145" s="29"/>
      <c r="P145" s="29"/>
      <c r="Q145" s="29"/>
      <c r="R145" s="29"/>
      <c r="S145" s="29"/>
      <c r="T145" s="29"/>
      <c r="U145" s="29"/>
      <c r="V145" s="29"/>
    </row>
    <row r="146" spans="1:22">
      <c r="A146" s="29"/>
      <c r="B146" s="29"/>
      <c r="C146" s="29"/>
      <c r="D146" s="29"/>
      <c r="E146" s="29"/>
      <c r="F146" s="29"/>
      <c r="G146" s="29"/>
      <c r="H146" s="29"/>
      <c r="I146" s="29"/>
      <c r="J146" s="29"/>
      <c r="K146" s="29"/>
      <c r="L146" s="29"/>
      <c r="M146" s="29"/>
      <c r="N146" s="29"/>
      <c r="O146" s="29"/>
      <c r="P146" s="29"/>
      <c r="Q146" s="29"/>
      <c r="R146" s="29"/>
      <c r="S146" s="29"/>
      <c r="T146" s="29"/>
      <c r="U146" s="29"/>
      <c r="V146" s="29"/>
    </row>
    <row r="147" spans="1:22">
      <c r="A147" s="29"/>
      <c r="B147" s="29"/>
      <c r="C147" s="29"/>
      <c r="D147" s="29"/>
      <c r="E147" s="29"/>
      <c r="F147" s="29"/>
      <c r="G147" s="29"/>
      <c r="H147" s="29"/>
      <c r="I147" s="29"/>
      <c r="J147" s="29"/>
      <c r="K147" s="29"/>
      <c r="L147" s="29"/>
      <c r="M147" s="29"/>
      <c r="N147" s="29"/>
      <c r="O147" s="29"/>
      <c r="P147" s="29"/>
      <c r="Q147" s="29"/>
      <c r="R147" s="29"/>
      <c r="S147" s="29"/>
      <c r="T147" s="29"/>
      <c r="U147" s="29"/>
      <c r="V147" s="29"/>
    </row>
    <row r="148" spans="1:22">
      <c r="A148" s="29"/>
      <c r="B148" s="29"/>
      <c r="C148" s="29"/>
      <c r="D148" s="29"/>
      <c r="E148" s="29"/>
      <c r="F148" s="29"/>
      <c r="G148" s="29"/>
      <c r="H148" s="29"/>
      <c r="I148" s="29"/>
      <c r="J148" s="29"/>
      <c r="K148" s="29"/>
      <c r="L148" s="29"/>
      <c r="M148" s="29"/>
      <c r="N148" s="29"/>
      <c r="O148" s="29"/>
      <c r="P148" s="29"/>
      <c r="Q148" s="29"/>
      <c r="R148" s="29"/>
      <c r="S148" s="29"/>
      <c r="T148" s="29"/>
      <c r="U148" s="29"/>
      <c r="V148" s="29"/>
    </row>
    <row r="149" spans="1:22">
      <c r="A149" s="29"/>
      <c r="B149" s="29"/>
      <c r="C149" s="29"/>
      <c r="D149" s="29"/>
      <c r="E149" s="29"/>
      <c r="F149" s="29"/>
      <c r="G149" s="29"/>
      <c r="H149" s="29"/>
      <c r="I149" s="29"/>
      <c r="J149" s="29"/>
      <c r="K149" s="29"/>
      <c r="L149" s="29"/>
      <c r="M149" s="29"/>
      <c r="N149" s="29"/>
      <c r="O149" s="29"/>
      <c r="P149" s="29"/>
      <c r="Q149" s="29"/>
      <c r="R149" s="29"/>
      <c r="S149" s="29"/>
      <c r="T149" s="29"/>
      <c r="U149" s="29"/>
      <c r="V149" s="29"/>
    </row>
    <row r="150" spans="1:22">
      <c r="A150" s="29"/>
      <c r="B150" s="29"/>
      <c r="C150" s="29"/>
      <c r="D150" s="29"/>
      <c r="E150" s="29"/>
      <c r="F150" s="29"/>
      <c r="G150" s="29"/>
      <c r="H150" s="29"/>
      <c r="I150" s="29"/>
      <c r="J150" s="29"/>
      <c r="K150" s="29"/>
      <c r="L150" s="29"/>
      <c r="M150" s="29"/>
      <c r="N150" s="29"/>
      <c r="O150" s="29"/>
      <c r="P150" s="29"/>
      <c r="Q150" s="29"/>
      <c r="R150" s="29"/>
      <c r="S150" s="29"/>
      <c r="T150" s="29"/>
      <c r="U150" s="29"/>
      <c r="V150" s="29"/>
    </row>
    <row r="151" spans="1:22">
      <c r="A151" s="29"/>
      <c r="B151" s="29"/>
      <c r="C151" s="29"/>
      <c r="D151" s="29"/>
      <c r="E151" s="29"/>
      <c r="F151" s="29"/>
      <c r="G151" s="29"/>
      <c r="H151" s="29"/>
      <c r="I151" s="29"/>
      <c r="J151" s="29"/>
      <c r="K151" s="29"/>
      <c r="L151" s="29"/>
      <c r="M151" s="29"/>
      <c r="N151" s="29"/>
      <c r="O151" s="29"/>
      <c r="P151" s="29"/>
      <c r="Q151" s="29"/>
      <c r="R151" s="29"/>
      <c r="S151" s="29"/>
      <c r="T151" s="29"/>
      <c r="U151" s="29"/>
      <c r="V151" s="29"/>
    </row>
  </sheetData>
  <mergeCells count="8">
    <mergeCell ref="B36:J37"/>
    <mergeCell ref="A3:K3"/>
    <mergeCell ref="A4:K4"/>
    <mergeCell ref="A5:K5"/>
    <mergeCell ref="A6:K6"/>
    <mergeCell ref="B29:G30"/>
    <mergeCell ref="A8:K8"/>
    <mergeCell ref="B11:H11"/>
  </mergeCells>
  <phoneticPr fontId="0" type="noConversion"/>
  <pageMargins left="0.26" right="0.63" top="1" bottom="1" header="0.75" footer="0.5"/>
  <pageSetup scale="81" orientation="landscape" r:id="rId1"/>
  <headerFooter alignWithMargins="0">
    <oddHeader>&amp;R&amp;"Arial,Bold"Formula Rate 
&amp;A
Page &amp;P of &amp;N</oddHeader>
  </headerFooter>
  <rowBreaks count="1" manualBreakCount="1">
    <brk id="102" max="17"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S77"/>
  <sheetViews>
    <sheetView tabSelected="1" topLeftCell="A20" zoomScale="85" zoomScaleNormal="85" zoomScaleSheetLayoutView="85" workbookViewId="0">
      <selection activeCell="D9" sqref="D9"/>
    </sheetView>
  </sheetViews>
  <sheetFormatPr defaultColWidth="9.140625" defaultRowHeight="15"/>
  <cols>
    <col min="1" max="1" width="10.42578125" style="49" customWidth="1"/>
    <col min="2" max="2" width="15.140625" style="19" customWidth="1"/>
    <col min="3" max="3" width="59.140625" style="6" customWidth="1"/>
    <col min="4" max="4" width="15.5703125" style="6" customWidth="1"/>
    <col min="5" max="5" width="22" style="6" customWidth="1"/>
    <col min="6" max="6" width="17.42578125" style="6" customWidth="1"/>
    <col min="7" max="7" width="47.5703125" style="6" customWidth="1"/>
    <col min="8" max="8" width="13.85546875" style="6" customWidth="1"/>
    <col min="9" max="9" width="9.140625" style="6"/>
    <col min="10" max="10" width="12.42578125" style="6" bestFit="1" customWidth="1"/>
    <col min="11" max="11" width="13.42578125" style="6" customWidth="1"/>
    <col min="12" max="16384" width="9.140625" style="6"/>
  </cols>
  <sheetData>
    <row r="1" spans="1:11" ht="15.75">
      <c r="A1" s="669" t="s">
        <v>115</v>
      </c>
    </row>
    <row r="2" spans="1:11" ht="15.75">
      <c r="A2" s="669" t="s">
        <v>115</v>
      </c>
    </row>
    <row r="3" spans="1:11">
      <c r="A3" s="1230" t="s">
        <v>388</v>
      </c>
      <c r="B3" s="1230"/>
      <c r="C3" s="1230"/>
      <c r="D3" s="1230"/>
      <c r="E3" s="1230"/>
      <c r="F3" s="1230"/>
      <c r="G3" s="1230"/>
      <c r="H3" s="30"/>
    </row>
    <row r="4" spans="1:11" ht="17.25" customHeight="1">
      <c r="A4" s="1231" t="str">
        <f>"Cost of Service Formula Rate Using Actual/Projected FF1 Balances"</f>
        <v>Cost of Service Formula Rate Using Actual/Projected FF1 Balances</v>
      </c>
      <c r="B4" s="1231"/>
      <c r="C4" s="1231"/>
      <c r="D4" s="1231"/>
      <c r="E4" s="1231"/>
      <c r="F4" s="1231"/>
      <c r="G4" s="1231"/>
      <c r="H4" s="77"/>
      <c r="I4" s="77"/>
      <c r="J4" s="77"/>
      <c r="K4" s="77"/>
    </row>
    <row r="5" spans="1:11" ht="18" customHeight="1">
      <c r="A5" s="1231" t="s">
        <v>489</v>
      </c>
      <c r="B5" s="1231"/>
      <c r="C5" s="1231"/>
      <c r="D5" s="1231"/>
      <c r="E5" s="1231"/>
      <c r="F5" s="1231"/>
      <c r="G5" s="1231"/>
    </row>
    <row r="6" spans="1:11" ht="19.5" customHeight="1">
      <c r="A6" s="1239" t="str">
        <f>TCOS!F9</f>
        <v xml:space="preserve">Indiana Michigan Power Company </v>
      </c>
      <c r="B6" s="1239"/>
      <c r="C6" s="1239"/>
      <c r="D6" s="1239"/>
      <c r="E6" s="1239"/>
      <c r="F6" s="1239"/>
      <c r="G6" s="1239"/>
    </row>
    <row r="7" spans="1:11" ht="12.75" customHeight="1">
      <c r="A7" s="1230"/>
      <c r="B7" s="1230"/>
      <c r="C7" s="1230"/>
      <c r="D7" s="1230"/>
      <c r="E7" s="1230"/>
      <c r="F7" s="1230"/>
      <c r="G7" s="37"/>
    </row>
    <row r="8" spans="1:11" ht="18">
      <c r="A8" s="1262"/>
      <c r="B8" s="1262"/>
      <c r="C8" s="1262"/>
      <c r="D8" s="1262"/>
      <c r="E8" s="1262"/>
      <c r="F8" s="1262"/>
      <c r="G8" s="1262"/>
    </row>
    <row r="9" spans="1:11" ht="18">
      <c r="A9" s="129"/>
      <c r="B9" s="129"/>
      <c r="C9" s="129"/>
      <c r="D9" s="129"/>
      <c r="E9" s="129"/>
      <c r="F9" s="129"/>
      <c r="G9" s="129"/>
    </row>
    <row r="10" spans="1:11" ht="15.75">
      <c r="B10" s="27" t="s">
        <v>163</v>
      </c>
      <c r="C10" s="27" t="s">
        <v>164</v>
      </c>
      <c r="D10" s="27" t="s">
        <v>165</v>
      </c>
      <c r="E10" s="27" t="s">
        <v>166</v>
      </c>
      <c r="F10" s="27" t="s">
        <v>85</v>
      </c>
      <c r="G10" s="27" t="s">
        <v>86</v>
      </c>
    </row>
    <row r="11" spans="1:11" ht="15.75">
      <c r="B11" s="41"/>
      <c r="C11" s="37"/>
      <c r="D11" s="162"/>
      <c r="E11" s="163"/>
      <c r="F11" s="164" t="s">
        <v>88</v>
      </c>
      <c r="G11" s="27"/>
    </row>
    <row r="12" spans="1:11" ht="15.75">
      <c r="A12" s="44" t="s">
        <v>170</v>
      </c>
      <c r="B12" s="41"/>
      <c r="C12" s="50"/>
      <c r="D12" s="44">
        <f>+TCOS!L4</f>
        <v>2025</v>
      </c>
      <c r="E12" s="164" t="s">
        <v>88</v>
      </c>
      <c r="F12" s="44" t="s">
        <v>116</v>
      </c>
      <c r="G12" s="27"/>
    </row>
    <row r="13" spans="1:11" ht="15.75">
      <c r="A13" s="44" t="s">
        <v>107</v>
      </c>
      <c r="B13" s="44" t="s">
        <v>37</v>
      </c>
      <c r="C13" s="44" t="s">
        <v>168</v>
      </c>
      <c r="D13" s="44" t="s">
        <v>38</v>
      </c>
      <c r="E13" s="44" t="s">
        <v>90</v>
      </c>
      <c r="F13" s="44" t="s">
        <v>39</v>
      </c>
      <c r="G13" s="44" t="s">
        <v>40</v>
      </c>
    </row>
    <row r="14" spans="1:11" ht="15.75">
      <c r="B14" s="44"/>
      <c r="C14" s="44"/>
      <c r="D14" s="44"/>
      <c r="E14" s="44"/>
      <c r="F14" s="44"/>
      <c r="G14" s="44"/>
    </row>
    <row r="15" spans="1:11" ht="15.75">
      <c r="B15" s="44"/>
      <c r="C15" s="44"/>
      <c r="D15" s="44"/>
      <c r="E15" s="44"/>
      <c r="F15" s="44"/>
      <c r="G15" s="44"/>
    </row>
    <row r="16" spans="1:11" ht="15.75">
      <c r="B16" s="44"/>
      <c r="D16" s="44"/>
      <c r="E16" s="44"/>
      <c r="F16" s="44"/>
      <c r="G16" s="44"/>
    </row>
    <row r="17" spans="1:7" ht="15.75">
      <c r="B17" s="44"/>
      <c r="C17" s="44" t="s">
        <v>497</v>
      </c>
      <c r="D17" s="35"/>
      <c r="E17" s="35"/>
      <c r="F17" s="35"/>
      <c r="G17" s="73"/>
    </row>
    <row r="18" spans="1:7">
      <c r="A18" s="49">
        <v>1</v>
      </c>
      <c r="B18" s="635"/>
      <c r="C18" s="636"/>
      <c r="D18" s="637"/>
      <c r="E18" s="55"/>
      <c r="F18" s="55"/>
      <c r="G18" s="665"/>
    </row>
    <row r="19" spans="1:7">
      <c r="A19" s="49">
        <v>2</v>
      </c>
      <c r="B19" s="635"/>
      <c r="C19" s="636"/>
      <c r="D19" s="637"/>
      <c r="E19" s="55"/>
      <c r="F19" s="55"/>
      <c r="G19" s="34"/>
    </row>
    <row r="20" spans="1:7">
      <c r="A20" s="49">
        <v>3</v>
      </c>
      <c r="B20" s="635"/>
      <c r="C20" s="636"/>
      <c r="D20" s="637"/>
      <c r="E20" s="55"/>
      <c r="F20" s="55"/>
      <c r="G20" s="34"/>
    </row>
    <row r="21" spans="1:7" ht="15.75">
      <c r="A21" s="49">
        <v>4</v>
      </c>
      <c r="B21" s="44"/>
      <c r="C21" s="189" t="s">
        <v>119</v>
      </c>
      <c r="D21" s="238">
        <f>SUM(D18:D19)</f>
        <v>0</v>
      </c>
      <c r="E21" s="55"/>
      <c r="F21" s="55"/>
      <c r="G21" s="44"/>
    </row>
    <row r="22" spans="1:7" ht="15.75">
      <c r="B22" s="44"/>
      <c r="C22" s="189"/>
      <c r="D22" s="202"/>
      <c r="E22" s="35"/>
      <c r="F22" s="35"/>
      <c r="G22" s="44"/>
    </row>
    <row r="23" spans="1:7" ht="15.75">
      <c r="A23" s="6"/>
      <c r="B23" s="44"/>
      <c r="C23" s="44" t="s">
        <v>50</v>
      </c>
      <c r="D23" s="52"/>
      <c r="E23" s="35"/>
      <c r="F23" s="35"/>
      <c r="G23" s="44"/>
    </row>
    <row r="24" spans="1:7" ht="15.75">
      <c r="A24" s="43">
        <f>+A21+1</f>
        <v>5</v>
      </c>
      <c r="B24" s="17"/>
      <c r="C24" s="198"/>
      <c r="D24" s="838"/>
      <c r="E24" s="35"/>
      <c r="F24" s="35"/>
      <c r="G24" s="44"/>
    </row>
    <row r="25" spans="1:7" ht="15.75">
      <c r="A25" s="235">
        <f>+A24+1</f>
        <v>6</v>
      </c>
      <c r="B25" s="17" t="s">
        <v>51</v>
      </c>
      <c r="C25" s="17" t="s">
        <v>52</v>
      </c>
      <c r="D25" s="638">
        <v>0</v>
      </c>
      <c r="E25" s="35"/>
      <c r="F25" s="35"/>
      <c r="G25" s="44"/>
    </row>
    <row r="26" spans="1:7" ht="15.75">
      <c r="A26" s="43">
        <f>+A25+1</f>
        <v>7</v>
      </c>
      <c r="B26" s="198" t="s">
        <v>53</v>
      </c>
      <c r="C26" s="198" t="s">
        <v>54</v>
      </c>
      <c r="D26" s="638">
        <v>468758.9</v>
      </c>
      <c r="E26" s="35"/>
      <c r="F26" s="35"/>
      <c r="G26" s="44"/>
    </row>
    <row r="27" spans="1:7" ht="15.75">
      <c r="A27" s="235">
        <f t="shared" ref="A27:A32" si="0">+A26+1</f>
        <v>8</v>
      </c>
      <c r="B27" s="17" t="s">
        <v>55</v>
      </c>
      <c r="C27" s="17" t="s">
        <v>56</v>
      </c>
      <c r="D27" s="626">
        <v>53497.87</v>
      </c>
      <c r="E27" s="35"/>
      <c r="F27" s="35"/>
      <c r="G27" s="44"/>
    </row>
    <row r="28" spans="1:7" ht="15.75">
      <c r="A28" s="43">
        <f t="shared" si="0"/>
        <v>9</v>
      </c>
      <c r="B28" s="198" t="s">
        <v>57</v>
      </c>
      <c r="C28" s="198" t="s">
        <v>58</v>
      </c>
      <c r="D28" s="638">
        <v>5844544.5299999993</v>
      </c>
      <c r="E28" s="35"/>
      <c r="F28" s="35"/>
      <c r="G28" s="44"/>
    </row>
    <row r="29" spans="1:7" ht="15.75">
      <c r="A29" s="235">
        <f t="shared" si="0"/>
        <v>10</v>
      </c>
      <c r="B29" s="17" t="s">
        <v>59</v>
      </c>
      <c r="C29" s="17" t="s">
        <v>60</v>
      </c>
      <c r="D29" s="638">
        <v>101098.51000000001</v>
      </c>
      <c r="E29" s="35"/>
      <c r="F29" s="35"/>
      <c r="G29" s="44"/>
    </row>
    <row r="30" spans="1:7" ht="15.75">
      <c r="A30" s="43">
        <f t="shared" si="0"/>
        <v>11</v>
      </c>
      <c r="B30" s="198" t="s">
        <v>61</v>
      </c>
      <c r="C30" s="198" t="s">
        <v>62</v>
      </c>
      <c r="D30" s="638">
        <v>10.67</v>
      </c>
      <c r="E30" s="35"/>
      <c r="F30" s="35"/>
      <c r="G30" s="44"/>
    </row>
    <row r="31" spans="1:7" ht="15.75">
      <c r="A31" s="235">
        <f t="shared" si="0"/>
        <v>12</v>
      </c>
      <c r="B31" s="17" t="s">
        <v>63</v>
      </c>
      <c r="C31" s="17" t="s">
        <v>64</v>
      </c>
      <c r="D31" s="638">
        <v>0</v>
      </c>
      <c r="E31" s="35"/>
      <c r="F31" s="35"/>
      <c r="G31" s="44"/>
    </row>
    <row r="32" spans="1:7" ht="15.75">
      <c r="A32" s="43">
        <f t="shared" si="0"/>
        <v>13</v>
      </c>
      <c r="B32" s="198" t="s">
        <v>65</v>
      </c>
      <c r="C32" s="198" t="s">
        <v>66</v>
      </c>
      <c r="D32" s="638">
        <v>1665375.1199999999</v>
      </c>
      <c r="E32" s="35"/>
      <c r="F32" s="35"/>
      <c r="G32" s="44"/>
    </row>
    <row r="33" spans="1:19" ht="15.75">
      <c r="A33" s="49">
        <f>+A32+1</f>
        <v>14</v>
      </c>
      <c r="B33" s="214"/>
      <c r="C33" s="27" t="s">
        <v>67</v>
      </c>
      <c r="D33" s="215">
        <f>SUM(D24:D32)</f>
        <v>8133285.5999999987</v>
      </c>
      <c r="E33" s="35"/>
      <c r="F33" s="35"/>
      <c r="G33" s="44"/>
    </row>
    <row r="34" spans="1:19" ht="15.75">
      <c r="A34" s="185"/>
      <c r="B34" s="54"/>
      <c r="C34" s="44"/>
      <c r="D34" s="44"/>
      <c r="E34" s="44"/>
      <c r="F34" s="44"/>
      <c r="G34" s="44"/>
    </row>
    <row r="35" spans="1:19" ht="15.75">
      <c r="A35" s="185"/>
      <c r="B35" s="43"/>
      <c r="C35" s="80" t="s">
        <v>213</v>
      </c>
      <c r="D35" s="37"/>
      <c r="E35" s="37"/>
      <c r="F35" s="37"/>
      <c r="G35" s="37"/>
    </row>
    <row r="36" spans="1:19">
      <c r="A36" s="49">
        <f>+A33+1</f>
        <v>15</v>
      </c>
      <c r="B36" s="930" t="s">
        <v>892</v>
      </c>
      <c r="C36" s="636" t="s">
        <v>893</v>
      </c>
      <c r="D36" s="931">
        <v>7504.46</v>
      </c>
      <c r="E36" s="35">
        <f t="shared" ref="E36:E39" si="1">D36-F36</f>
        <v>6530.99</v>
      </c>
      <c r="F36" s="35">
        <v>973.47</v>
      </c>
      <c r="G36" s="34"/>
    </row>
    <row r="37" spans="1:19">
      <c r="A37" s="49">
        <f>+A36+1</f>
        <v>16</v>
      </c>
      <c r="B37" s="930" t="s">
        <v>894</v>
      </c>
      <c r="C37" s="636" t="s">
        <v>895</v>
      </c>
      <c r="D37" s="931">
        <v>13700000.119999999</v>
      </c>
      <c r="E37" s="35">
        <f t="shared" si="1"/>
        <v>13700000.119999999</v>
      </c>
      <c r="F37" s="35">
        <v>0</v>
      </c>
      <c r="G37" s="34" t="s">
        <v>115</v>
      </c>
    </row>
    <row r="38" spans="1:19">
      <c r="A38" s="49">
        <f>+A37+1</f>
        <v>17</v>
      </c>
      <c r="B38" s="930" t="s">
        <v>896</v>
      </c>
      <c r="C38" s="636" t="s">
        <v>897</v>
      </c>
      <c r="D38" s="931">
        <v>2277505.81</v>
      </c>
      <c r="E38" s="35">
        <f t="shared" si="1"/>
        <v>1969956.76</v>
      </c>
      <c r="F38" s="35">
        <v>307549.05</v>
      </c>
      <c r="G38" s="34" t="s">
        <v>115</v>
      </c>
    </row>
    <row r="39" spans="1:19">
      <c r="A39" s="49">
        <f>+A38+1</f>
        <v>18</v>
      </c>
      <c r="B39" s="930" t="s">
        <v>952</v>
      </c>
      <c r="C39" s="636" t="s">
        <v>951</v>
      </c>
      <c r="D39" s="931">
        <v>119898.40000000001</v>
      </c>
      <c r="E39" s="35">
        <f t="shared" si="1"/>
        <v>80970.640000000014</v>
      </c>
      <c r="F39" s="35">
        <v>38927.760000000002</v>
      </c>
      <c r="G39" s="34" t="s">
        <v>115</v>
      </c>
    </row>
    <row r="40" spans="1:19">
      <c r="A40" s="49">
        <f t="shared" ref="A40:A42" si="2">+A39+1</f>
        <v>19</v>
      </c>
      <c r="B40" s="930">
        <v>9280006</v>
      </c>
      <c r="C40" s="636" t="s">
        <v>1160</v>
      </c>
      <c r="D40" s="931">
        <v>3582883.89</v>
      </c>
      <c r="E40" s="35">
        <f t="shared" ref="E40" si="3">D40-F40</f>
        <v>3582883.89</v>
      </c>
      <c r="F40" s="35">
        <v>0</v>
      </c>
      <c r="G40" s="34"/>
    </row>
    <row r="41" spans="1:19" ht="12.75" customHeight="1">
      <c r="A41" s="49">
        <f t="shared" si="2"/>
        <v>20</v>
      </c>
      <c r="B41" s="635"/>
      <c r="C41" s="636"/>
      <c r="D41" s="636"/>
      <c r="E41" s="38"/>
      <c r="F41" s="39"/>
      <c r="G41" s="37"/>
    </row>
    <row r="42" spans="1:19" ht="15.75" customHeight="1">
      <c r="A42" s="49">
        <f t="shared" si="2"/>
        <v>21</v>
      </c>
      <c r="B42" s="41"/>
      <c r="C42" s="839" t="s">
        <v>620</v>
      </c>
      <c r="D42" s="51">
        <f>SUM(D36:D40)</f>
        <v>19687792.68</v>
      </c>
      <c r="E42" s="51">
        <f t="shared" ref="E42:F42" si="4">SUM(E36:E40)</f>
        <v>19340342.399999999</v>
      </c>
      <c r="F42" s="51">
        <f t="shared" si="4"/>
        <v>347450.27999999997</v>
      </c>
      <c r="G42" s="21"/>
    </row>
    <row r="43" spans="1:19" ht="12.75" customHeight="1">
      <c r="B43" s="41"/>
      <c r="C43" s="42"/>
      <c r="D43" s="53"/>
      <c r="E43" s="23"/>
      <c r="F43" s="23"/>
      <c r="G43" s="37"/>
    </row>
    <row r="44" spans="1:19" ht="15.75">
      <c r="B44" s="43"/>
      <c r="C44" s="80" t="s">
        <v>212</v>
      </c>
      <c r="D44" s="23"/>
      <c r="E44" s="23"/>
      <c r="F44" s="23"/>
      <c r="G44" s="37"/>
    </row>
    <row r="45" spans="1:19">
      <c r="A45" s="49">
        <f>+A42+1</f>
        <v>22</v>
      </c>
      <c r="B45" s="930" t="s">
        <v>898</v>
      </c>
      <c r="C45" s="636" t="s">
        <v>899</v>
      </c>
      <c r="D45" s="931">
        <v>23638.010000000002</v>
      </c>
      <c r="E45" s="35">
        <f t="shared" ref="E45:E52" si="5">D45-F45</f>
        <v>22978.880000000001</v>
      </c>
      <c r="F45" s="35">
        <v>659.13</v>
      </c>
      <c r="G45"/>
      <c r="M45" s="20"/>
      <c r="N45" s="20"/>
      <c r="O45" s="22"/>
      <c r="P45" s="22"/>
      <c r="Q45" s="22"/>
      <c r="R45" s="22"/>
      <c r="S45" s="22"/>
    </row>
    <row r="46" spans="1:19">
      <c r="A46" s="49">
        <f>+A45+1</f>
        <v>23</v>
      </c>
      <c r="B46" s="930" t="s">
        <v>900</v>
      </c>
      <c r="C46" s="636" t="s">
        <v>901</v>
      </c>
      <c r="D46" s="931">
        <v>1377.58</v>
      </c>
      <c r="E46" s="35">
        <f t="shared" si="5"/>
        <v>1377.58</v>
      </c>
      <c r="F46" s="35">
        <v>0</v>
      </c>
      <c r="G46"/>
      <c r="M46" s="20"/>
      <c r="N46" s="20"/>
      <c r="O46" s="22"/>
      <c r="P46" s="22"/>
      <c r="Q46" s="22"/>
      <c r="R46" s="22"/>
      <c r="S46" s="22"/>
    </row>
    <row r="47" spans="1:19">
      <c r="A47" s="49">
        <f t="shared" ref="A47:A60" si="6">+A46+1</f>
        <v>24</v>
      </c>
      <c r="B47" s="930" t="s">
        <v>902</v>
      </c>
      <c r="C47" s="636" t="s">
        <v>903</v>
      </c>
      <c r="D47" s="931">
        <v>71.81</v>
      </c>
      <c r="E47" s="35">
        <f t="shared" si="5"/>
        <v>71.81</v>
      </c>
      <c r="F47" s="35">
        <v>0</v>
      </c>
      <c r="G47"/>
      <c r="M47" s="20"/>
      <c r="N47" s="20"/>
      <c r="O47" s="22"/>
      <c r="P47" s="22"/>
      <c r="Q47" s="22"/>
      <c r="R47" s="22"/>
      <c r="S47" s="22"/>
    </row>
    <row r="48" spans="1:19">
      <c r="A48" s="49">
        <f t="shared" si="6"/>
        <v>25</v>
      </c>
      <c r="B48" s="930" t="s">
        <v>1167</v>
      </c>
      <c r="C48" s="636" t="s">
        <v>1168</v>
      </c>
      <c r="D48" s="931">
        <v>0</v>
      </c>
      <c r="E48" s="35">
        <f t="shared" si="5"/>
        <v>0</v>
      </c>
      <c r="F48" s="35">
        <v>0</v>
      </c>
      <c r="G48"/>
      <c r="M48" s="20"/>
      <c r="N48" s="20"/>
      <c r="O48" s="22"/>
      <c r="P48" s="22"/>
      <c r="Q48" s="22"/>
      <c r="R48" s="22"/>
      <c r="S48" s="22"/>
    </row>
    <row r="49" spans="1:19">
      <c r="A49" s="49">
        <f>+A48+1</f>
        <v>26</v>
      </c>
      <c r="B49" s="930">
        <v>9301009</v>
      </c>
      <c r="C49" s="636" t="s">
        <v>1420</v>
      </c>
      <c r="D49" s="931">
        <v>205.35</v>
      </c>
      <c r="E49" s="35">
        <f t="shared" si="5"/>
        <v>17.069999999999993</v>
      </c>
      <c r="F49" s="35">
        <v>188.28</v>
      </c>
      <c r="G49"/>
      <c r="M49" s="20"/>
      <c r="N49" s="20"/>
      <c r="O49" s="22"/>
      <c r="P49" s="22"/>
      <c r="Q49" s="22"/>
      <c r="R49" s="22"/>
      <c r="S49" s="22"/>
    </row>
    <row r="50" spans="1:19">
      <c r="A50" s="49">
        <f t="shared" ref="A50:A53" si="7">+A49+1</f>
        <v>27</v>
      </c>
      <c r="B50" s="930" t="s">
        <v>1466</v>
      </c>
      <c r="C50" s="636" t="s">
        <v>1465</v>
      </c>
      <c r="D50" s="931">
        <v>50</v>
      </c>
      <c r="E50" s="35"/>
      <c r="F50" s="35"/>
      <c r="G50"/>
      <c r="M50" s="20"/>
      <c r="N50" s="20"/>
      <c r="O50" s="22"/>
      <c r="P50" s="22"/>
      <c r="Q50" s="22"/>
      <c r="R50" s="22"/>
      <c r="S50" s="22"/>
    </row>
    <row r="51" spans="1:19">
      <c r="A51" s="49">
        <f t="shared" si="7"/>
        <v>28</v>
      </c>
      <c r="B51" s="930" t="s">
        <v>904</v>
      </c>
      <c r="C51" s="636" t="s">
        <v>905</v>
      </c>
      <c r="D51" s="931">
        <v>110667.59</v>
      </c>
      <c r="E51" s="35">
        <f t="shared" si="5"/>
        <v>110667</v>
      </c>
      <c r="F51" s="35">
        <v>0.59</v>
      </c>
      <c r="G51"/>
      <c r="M51" s="20"/>
      <c r="N51" s="20"/>
      <c r="O51" s="22"/>
      <c r="P51" s="22"/>
      <c r="Q51" s="22"/>
      <c r="R51" s="22"/>
      <c r="S51" s="22"/>
    </row>
    <row r="52" spans="1:19">
      <c r="A52" s="49">
        <f t="shared" si="7"/>
        <v>29</v>
      </c>
      <c r="B52" s="930" t="s">
        <v>906</v>
      </c>
      <c r="C52" s="636" t="s">
        <v>907</v>
      </c>
      <c r="D52" s="931">
        <v>0</v>
      </c>
      <c r="E52" s="35">
        <f t="shared" si="5"/>
        <v>0</v>
      </c>
      <c r="F52" s="35">
        <v>0</v>
      </c>
      <c r="G52"/>
      <c r="M52" s="20"/>
      <c r="N52" s="20"/>
      <c r="O52" s="22"/>
      <c r="P52" s="22"/>
      <c r="Q52" s="22"/>
      <c r="R52" s="22"/>
      <c r="S52" s="22"/>
    </row>
    <row r="53" spans="1:19">
      <c r="A53" s="49">
        <f t="shared" si="7"/>
        <v>30</v>
      </c>
      <c r="B53" s="930"/>
      <c r="C53" s="636"/>
      <c r="D53" s="931"/>
      <c r="E53" s="35"/>
      <c r="F53" s="35"/>
      <c r="G53"/>
      <c r="M53" s="20"/>
      <c r="N53" s="20"/>
      <c r="O53" s="22"/>
      <c r="P53" s="22"/>
      <c r="Q53" s="22"/>
      <c r="R53" s="22"/>
      <c r="S53" s="22"/>
    </row>
    <row r="54" spans="1:19">
      <c r="A54" s="49">
        <f>A53+1</f>
        <v>31</v>
      </c>
      <c r="B54" s="930"/>
      <c r="C54" s="636"/>
      <c r="D54" s="931"/>
      <c r="E54" s="35"/>
      <c r="F54" s="35"/>
      <c r="G54"/>
      <c r="M54" s="20"/>
      <c r="N54" s="20"/>
      <c r="O54" s="22"/>
      <c r="P54" s="22"/>
      <c r="Q54" s="22"/>
      <c r="R54" s="22"/>
      <c r="S54" s="22"/>
    </row>
    <row r="55" spans="1:19">
      <c r="A55" s="49">
        <f>A54+1</f>
        <v>32</v>
      </c>
      <c r="B55" s="930"/>
      <c r="C55" s="636"/>
      <c r="D55" s="931"/>
      <c r="E55" s="35"/>
      <c r="F55" s="35"/>
      <c r="G55"/>
      <c r="M55" s="20"/>
      <c r="N55" s="20"/>
      <c r="O55" s="22"/>
      <c r="P55" s="22"/>
      <c r="Q55" s="22"/>
      <c r="R55" s="22"/>
      <c r="S55" s="22"/>
    </row>
    <row r="56" spans="1:19">
      <c r="A56" s="49">
        <f>A55+1</f>
        <v>33</v>
      </c>
      <c r="B56" s="930"/>
      <c r="C56" s="636"/>
      <c r="D56" s="931"/>
      <c r="E56" s="35"/>
      <c r="F56" s="35"/>
      <c r="G56"/>
      <c r="M56" s="20"/>
      <c r="N56" s="20"/>
      <c r="O56" s="22"/>
      <c r="P56" s="22"/>
      <c r="Q56" s="22"/>
      <c r="R56" s="22"/>
      <c r="S56" s="22"/>
    </row>
    <row r="57" spans="1:19">
      <c r="A57" s="49">
        <f t="shared" si="6"/>
        <v>34</v>
      </c>
      <c r="B57" s="930"/>
      <c r="C57" s="636"/>
      <c r="D57" s="931"/>
      <c r="E57" s="35"/>
      <c r="F57" s="35"/>
      <c r="G57"/>
    </row>
    <row r="58" spans="1:19">
      <c r="A58" s="49">
        <f t="shared" si="6"/>
        <v>35</v>
      </c>
      <c r="B58" s="930"/>
      <c r="C58" s="636"/>
      <c r="D58" s="931"/>
      <c r="E58" s="35"/>
      <c r="F58" s="35"/>
      <c r="G58" s="37"/>
    </row>
    <row r="59" spans="1:19">
      <c r="A59" s="49">
        <f t="shared" si="6"/>
        <v>36</v>
      </c>
      <c r="B59" s="635"/>
      <c r="C59" s="636"/>
      <c r="D59" s="637"/>
      <c r="E59" s="35"/>
      <c r="F59" s="40"/>
      <c r="G59" s="37"/>
    </row>
    <row r="60" spans="1:19">
      <c r="A60" s="49">
        <f t="shared" si="6"/>
        <v>37</v>
      </c>
      <c r="B60" s="635"/>
      <c r="C60" s="636"/>
      <c r="D60" s="637"/>
      <c r="E60" s="35"/>
      <c r="F60" s="40"/>
      <c r="G60" s="37"/>
    </row>
    <row r="61" spans="1:19">
      <c r="B61" s="36"/>
      <c r="C61" s="37"/>
      <c r="D61" s="45"/>
      <c r="E61" s="46"/>
      <c r="F61" s="45"/>
      <c r="G61" s="37"/>
    </row>
    <row r="62" spans="1:19" ht="15.75">
      <c r="A62" s="49">
        <f>A60+1</f>
        <v>38</v>
      </c>
      <c r="B62" s="41"/>
      <c r="C62" s="839" t="s">
        <v>621</v>
      </c>
      <c r="D62" s="47">
        <f>SUM(D45:D60)</f>
        <v>136010.34</v>
      </c>
      <c r="E62" s="47">
        <f>SUM(E45:E60)</f>
        <v>135112.34</v>
      </c>
      <c r="F62" s="47">
        <f>SUM(F45:F60)</f>
        <v>848</v>
      </c>
      <c r="G62" s="21"/>
    </row>
    <row r="63" spans="1:19" ht="12.75" customHeight="1">
      <c r="B63" s="29"/>
      <c r="C63" s="29"/>
      <c r="D63" s="29"/>
      <c r="E63" s="29"/>
      <c r="F63" s="29"/>
      <c r="G63" s="29"/>
    </row>
    <row r="64" spans="1:19" ht="15.75">
      <c r="B64" s="27"/>
      <c r="C64" s="80" t="s">
        <v>211</v>
      </c>
      <c r="D64" s="48"/>
      <c r="E64" s="48"/>
      <c r="F64" s="48"/>
      <c r="G64" s="27"/>
    </row>
    <row r="65" spans="1:11">
      <c r="A65" s="49">
        <f>+A62+1</f>
        <v>39</v>
      </c>
      <c r="B65" s="930" t="s">
        <v>908</v>
      </c>
      <c r="C65" s="636" t="s">
        <v>909</v>
      </c>
      <c r="D65" s="931">
        <v>3874421.4130000002</v>
      </c>
      <c r="E65" s="35">
        <f t="shared" ref="E65:E69" si="8">D65-F65</f>
        <v>3917594.3230000003</v>
      </c>
      <c r="F65" s="35">
        <v>-43172.91</v>
      </c>
      <c r="G65" s="20"/>
      <c r="H65" s="20"/>
      <c r="J65" s="22"/>
      <c r="K65" s="22"/>
    </row>
    <row r="66" spans="1:11">
      <c r="A66" s="49">
        <f>+A65+1</f>
        <v>40</v>
      </c>
      <c r="B66" s="930" t="s">
        <v>910</v>
      </c>
      <c r="C66" s="636" t="s">
        <v>911</v>
      </c>
      <c r="D66" s="931">
        <v>433046.56400000001</v>
      </c>
      <c r="E66" s="35">
        <f t="shared" si="8"/>
        <v>397843.16800000001</v>
      </c>
      <c r="F66" s="35">
        <v>35203.396000000001</v>
      </c>
      <c r="G66" s="20"/>
      <c r="H66" s="20"/>
      <c r="J66" s="22"/>
      <c r="K66" s="22"/>
    </row>
    <row r="67" spans="1:11">
      <c r="A67" s="49">
        <f>+A66+1</f>
        <v>41</v>
      </c>
      <c r="B67" s="930" t="s">
        <v>912</v>
      </c>
      <c r="C67" s="636" t="s">
        <v>913</v>
      </c>
      <c r="D67" s="931">
        <v>54.45</v>
      </c>
      <c r="E67" s="35">
        <f t="shared" si="8"/>
        <v>54.45</v>
      </c>
      <c r="F67" s="35">
        <v>0</v>
      </c>
      <c r="G67" s="20"/>
      <c r="H67" s="20"/>
      <c r="J67" s="22"/>
      <c r="K67" s="22"/>
    </row>
    <row r="68" spans="1:11">
      <c r="A68" s="49">
        <f>A67+1</f>
        <v>42</v>
      </c>
      <c r="B68" s="930" t="s">
        <v>914</v>
      </c>
      <c r="C68" s="636" t="s">
        <v>1169</v>
      </c>
      <c r="D68" s="931">
        <v>886232.74</v>
      </c>
      <c r="E68" s="35">
        <f t="shared" si="8"/>
        <v>886232.74</v>
      </c>
      <c r="F68" s="35">
        <v>0</v>
      </c>
      <c r="G68" s="20"/>
      <c r="H68" s="20"/>
      <c r="J68" s="22"/>
      <c r="K68" s="22"/>
    </row>
    <row r="69" spans="1:11">
      <c r="A69" s="49">
        <f>+A68+1</f>
        <v>43</v>
      </c>
      <c r="B69" s="930" t="s">
        <v>915</v>
      </c>
      <c r="C69" s="636" t="s">
        <v>916</v>
      </c>
      <c r="D69" s="931">
        <v>825495.03</v>
      </c>
      <c r="E69" s="35">
        <f t="shared" si="8"/>
        <v>374237.99</v>
      </c>
      <c r="F69" s="35">
        <v>451257.04000000004</v>
      </c>
      <c r="G69" s="29"/>
    </row>
    <row r="70" spans="1:11">
      <c r="A70" s="49">
        <f>A69+1</f>
        <v>44</v>
      </c>
      <c r="B70" s="930"/>
      <c r="C70" s="636"/>
      <c r="D70" s="931"/>
      <c r="E70" s="35"/>
      <c r="F70" s="35"/>
      <c r="G70" s="29"/>
    </row>
    <row r="71" spans="1:11">
      <c r="A71" s="49">
        <f>A70+1</f>
        <v>45</v>
      </c>
      <c r="B71" s="930"/>
      <c r="C71" s="636"/>
      <c r="D71" s="931"/>
      <c r="E71" s="35"/>
      <c r="F71" s="40"/>
      <c r="G71" s="29"/>
    </row>
    <row r="72" spans="1:11" ht="15.75" thickBot="1">
      <c r="B72" s="635"/>
      <c r="C72" s="636"/>
      <c r="D72" s="932"/>
      <c r="E72" s="933"/>
      <c r="F72" s="934"/>
      <c r="G72" s="29"/>
    </row>
    <row r="73" spans="1:11">
      <c r="B73" s="239"/>
      <c r="C73" s="241"/>
      <c r="D73" s="241"/>
      <c r="E73" s="29"/>
      <c r="F73" s="29"/>
      <c r="G73" s="29"/>
    </row>
    <row r="74" spans="1:11" ht="15.75">
      <c r="A74" s="49">
        <f>+A71+1</f>
        <v>46</v>
      </c>
      <c r="B74" s="29"/>
      <c r="C74" s="839" t="s">
        <v>622</v>
      </c>
      <c r="D74" s="240">
        <f>SUM(D65:D71)</f>
        <v>6019250.1970000006</v>
      </c>
      <c r="E74" s="240">
        <f>SUM(E65:E71)</f>
        <v>5575962.671000001</v>
      </c>
      <c r="F74" s="240">
        <f>SUM(F65:F71)</f>
        <v>443287.52600000001</v>
      </c>
      <c r="G74" s="21"/>
    </row>
    <row r="75" spans="1:11">
      <c r="B75" s="72"/>
      <c r="C75"/>
      <c r="D75" s="237"/>
      <c r="E75"/>
      <c r="F75"/>
      <c r="G75"/>
    </row>
    <row r="76" spans="1:11" ht="12.75">
      <c r="A76"/>
      <c r="B76"/>
      <c r="C76"/>
      <c r="D76"/>
      <c r="E76"/>
      <c r="F76"/>
    </row>
    <row r="77" spans="1:11" ht="12.75">
      <c r="A77"/>
      <c r="B77"/>
      <c r="C77"/>
      <c r="D77"/>
      <c r="E77"/>
      <c r="F77"/>
    </row>
  </sheetData>
  <mergeCells count="6">
    <mergeCell ref="A3:G3"/>
    <mergeCell ref="A8:G8"/>
    <mergeCell ref="A7:F7"/>
    <mergeCell ref="A4:G4"/>
    <mergeCell ref="A5:G5"/>
    <mergeCell ref="A6:G6"/>
  </mergeCells>
  <phoneticPr fontId="0" type="noConversion"/>
  <pageMargins left="0.44" right="0.52" top="1" bottom="0.67" header="0.75" footer="0.4"/>
  <pageSetup scale="52" orientation="portrait" r:id="rId1"/>
  <headerFooter alignWithMargins="0">
    <oddHeader>&amp;R&amp;"Arial,Bold"Formula Rate 
&amp;A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O248"/>
  <sheetViews>
    <sheetView tabSelected="1" view="pageBreakPreview" zoomScaleNormal="100" zoomScaleSheetLayoutView="100" workbookViewId="0">
      <selection activeCell="D9" sqref="D9"/>
    </sheetView>
  </sheetViews>
  <sheetFormatPr defaultRowHeight="12.75"/>
  <cols>
    <col min="2" max="2" width="32.5703125" customWidth="1"/>
    <col min="5" max="5" width="15" customWidth="1"/>
    <col min="6" max="6" width="12.85546875" bestFit="1" customWidth="1"/>
    <col min="7" max="7" width="10.85546875" customWidth="1"/>
    <col min="8" max="8" width="2.85546875" customWidth="1"/>
    <col min="9" max="9" width="16.5703125" bestFit="1" customWidth="1"/>
    <col min="10" max="10" width="2.140625" customWidth="1"/>
    <col min="11" max="11" width="14.5703125" bestFit="1" customWidth="1"/>
    <col min="12" max="12" width="4.85546875" customWidth="1"/>
    <col min="13" max="13" width="16" bestFit="1" customWidth="1"/>
    <col min="14" max="14" width="2.140625" customWidth="1"/>
    <col min="15" max="15" width="14.42578125" bestFit="1" customWidth="1"/>
  </cols>
  <sheetData>
    <row r="1" spans="1:15" ht="15.75">
      <c r="A1" s="669" t="s">
        <v>115</v>
      </c>
    </row>
    <row r="2" spans="1:15" ht="15.75">
      <c r="A2" s="669" t="s">
        <v>115</v>
      </c>
    </row>
    <row r="3" spans="1:15" ht="15">
      <c r="A3" s="1230" t="s">
        <v>388</v>
      </c>
      <c r="B3" s="1230"/>
      <c r="C3" s="1230"/>
      <c r="D3" s="1230"/>
      <c r="E3" s="1230"/>
      <c r="F3" s="1230"/>
      <c r="G3" s="1230"/>
      <c r="H3" s="1230"/>
    </row>
    <row r="4" spans="1:15" ht="15">
      <c r="A4" s="1231" t="str">
        <f>"Cost of Service Formula Rate Using Actual/Projected FF1 Balances"</f>
        <v>Cost of Service Formula Rate Using Actual/Projected FF1 Balances</v>
      </c>
      <c r="B4" s="1231"/>
      <c r="C4" s="1231"/>
      <c r="D4" s="1231"/>
      <c r="E4" s="1231"/>
      <c r="F4" s="1231"/>
      <c r="G4" s="1231"/>
      <c r="H4" s="1231"/>
    </row>
    <row r="5" spans="1:15" ht="15">
      <c r="A5" s="1231" t="s">
        <v>529</v>
      </c>
      <c r="B5" s="1231"/>
      <c r="C5" s="1231"/>
      <c r="D5" s="1231"/>
      <c r="E5" s="1231"/>
      <c r="F5" s="1231"/>
      <c r="G5" s="1231"/>
      <c r="H5" s="1231"/>
    </row>
    <row r="6" spans="1:15" ht="15">
      <c r="A6" s="1239" t="str">
        <f>TCOS!F9</f>
        <v xml:space="preserve">Indiana Michigan Power Company </v>
      </c>
      <c r="B6" s="1239"/>
      <c r="C6" s="1239"/>
      <c r="D6" s="1239"/>
      <c r="E6" s="1239"/>
      <c r="F6" s="1239"/>
      <c r="G6" s="1239"/>
    </row>
    <row r="7" spans="1:15" ht="12.75" customHeight="1">
      <c r="A7" s="13"/>
      <c r="B7" s="15"/>
      <c r="C7" s="15"/>
      <c r="D7" s="15"/>
      <c r="E7" s="15"/>
      <c r="F7" s="15"/>
      <c r="G7" s="15"/>
      <c r="H7" s="15"/>
      <c r="I7" s="15"/>
      <c r="J7" s="15"/>
      <c r="O7" s="11"/>
    </row>
    <row r="8" spans="1:15" ht="12.75" customHeight="1">
      <c r="A8" s="13"/>
      <c r="B8" s="30"/>
      <c r="C8" s="2"/>
      <c r="D8" s="2"/>
      <c r="E8" s="2"/>
      <c r="F8" s="2"/>
    </row>
    <row r="9" spans="1:15" ht="18">
      <c r="A9" s="16"/>
      <c r="B9" s="2" t="s">
        <v>917</v>
      </c>
      <c r="C9" s="28"/>
      <c r="D9" s="31"/>
      <c r="E9" s="639">
        <v>4.9000000000000002E-2</v>
      </c>
      <c r="F9" s="2"/>
      <c r="G9" s="14"/>
      <c r="H9" s="14"/>
      <c r="L9" s="1"/>
    </row>
    <row r="10" spans="1:15" ht="15">
      <c r="A10" s="1"/>
      <c r="B10" s="2" t="s">
        <v>918</v>
      </c>
      <c r="C10" s="28"/>
      <c r="D10" s="28"/>
      <c r="E10" s="640">
        <v>0.73719999999999997</v>
      </c>
      <c r="F10" s="2"/>
      <c r="G10" s="14"/>
      <c r="H10" s="14"/>
      <c r="L10" s="1"/>
    </row>
    <row r="11" spans="1:15" ht="15">
      <c r="A11" s="1"/>
      <c r="B11" s="2" t="s">
        <v>449</v>
      </c>
      <c r="C11" s="28"/>
      <c r="D11" s="28"/>
      <c r="E11" s="246"/>
      <c r="F11" s="32">
        <f>ROUND(E9*E10,6)</f>
        <v>3.6123000000000002E-2</v>
      </c>
      <c r="G11" s="14"/>
      <c r="L11" s="1"/>
    </row>
    <row r="12" spans="1:15" ht="15">
      <c r="A12" s="1"/>
      <c r="B12" s="2"/>
      <c r="C12" s="28"/>
      <c r="D12" s="28"/>
      <c r="E12" s="246"/>
      <c r="F12" s="32"/>
      <c r="G12" s="14"/>
      <c r="L12" s="1"/>
    </row>
    <row r="13" spans="1:15" ht="15">
      <c r="A13" s="1"/>
      <c r="B13" s="2" t="s">
        <v>919</v>
      </c>
      <c r="C13" s="28"/>
      <c r="D13" s="31"/>
      <c r="E13" s="639">
        <v>0.06</v>
      </c>
      <c r="F13" s="2"/>
      <c r="G13" s="14"/>
      <c r="L13" s="1"/>
    </row>
    <row r="14" spans="1:15" ht="15">
      <c r="A14" s="1"/>
      <c r="B14" s="2" t="s">
        <v>918</v>
      </c>
      <c r="C14" s="28"/>
      <c r="D14" s="28"/>
      <c r="E14" s="640">
        <v>0.151891</v>
      </c>
      <c r="F14" s="2"/>
      <c r="G14" s="14"/>
      <c r="L14" s="1"/>
    </row>
    <row r="15" spans="1:15" ht="15">
      <c r="A15" s="1"/>
      <c r="B15" s="2" t="s">
        <v>449</v>
      </c>
      <c r="C15" s="28"/>
      <c r="D15" s="28"/>
      <c r="E15" s="246"/>
      <c r="F15" s="32">
        <f>ROUND(E13*E14,6)</f>
        <v>9.1129999999999996E-3</v>
      </c>
      <c r="G15" s="14"/>
      <c r="L15" s="1"/>
    </row>
    <row r="16" spans="1:15" ht="15">
      <c r="A16" s="1"/>
      <c r="B16" s="2"/>
      <c r="C16" s="28"/>
      <c r="D16" s="28"/>
      <c r="E16" s="246"/>
      <c r="F16" s="32"/>
      <c r="G16" s="14"/>
      <c r="L16" s="1"/>
    </row>
    <row r="17" spans="1:12" ht="15">
      <c r="A17" s="1"/>
      <c r="B17" s="2" t="s">
        <v>920</v>
      </c>
      <c r="C17" s="28"/>
      <c r="D17" s="31"/>
      <c r="E17" s="639">
        <v>6.5000000000000002E-2</v>
      </c>
      <c r="F17" s="2"/>
      <c r="G17" s="14"/>
      <c r="L17" s="1"/>
    </row>
    <row r="18" spans="1:12" ht="15">
      <c r="A18" s="1"/>
      <c r="B18" s="2" t="s">
        <v>918</v>
      </c>
      <c r="C18" s="28"/>
      <c r="D18" s="28"/>
      <c r="E18" s="640">
        <v>1.7683000000000001E-2</v>
      </c>
      <c r="F18" s="2"/>
      <c r="G18" s="14"/>
      <c r="L18" s="1"/>
    </row>
    <row r="19" spans="1:12" ht="15">
      <c r="A19" s="1"/>
      <c r="B19" s="2" t="s">
        <v>449</v>
      </c>
      <c r="C19" s="28"/>
      <c r="D19" s="28"/>
      <c r="E19" s="246"/>
      <c r="F19" s="32">
        <f>ROUND(E17*E18,6)</f>
        <v>1.1490000000000001E-3</v>
      </c>
      <c r="G19" s="14"/>
      <c r="L19" s="1"/>
    </row>
    <row r="20" spans="1:12" ht="15">
      <c r="A20" s="1"/>
      <c r="B20" s="2"/>
      <c r="C20" s="28"/>
      <c r="D20" s="28"/>
      <c r="E20" s="246"/>
      <c r="F20" s="32"/>
      <c r="G20" s="14"/>
      <c r="L20" s="1"/>
    </row>
    <row r="21" spans="1:12" ht="15">
      <c r="A21" s="1"/>
      <c r="B21" s="2" t="s">
        <v>1421</v>
      </c>
      <c r="C21" s="28"/>
      <c r="D21" s="31"/>
      <c r="E21" s="639">
        <v>2.2499999999999999E-2</v>
      </c>
      <c r="F21" s="2"/>
      <c r="G21" s="14"/>
      <c r="L21" s="1"/>
    </row>
    <row r="22" spans="1:12" ht="15">
      <c r="A22" s="1"/>
      <c r="B22" s="2" t="s">
        <v>918</v>
      </c>
      <c r="C22" s="28"/>
      <c r="D22" s="28"/>
      <c r="E22" s="640">
        <v>1.9599999999999999E-3</v>
      </c>
      <c r="F22" s="2"/>
      <c r="G22" s="14"/>
      <c r="L22" s="1"/>
    </row>
    <row r="23" spans="1:12" ht="15">
      <c r="A23" s="1"/>
      <c r="B23" s="2" t="s">
        <v>449</v>
      </c>
      <c r="C23" s="28"/>
      <c r="D23" s="28"/>
      <c r="E23" s="246"/>
      <c r="F23" s="32">
        <f>ROUND(E21*E22,6)</f>
        <v>4.3999999999999999E-5</v>
      </c>
      <c r="G23" s="14"/>
      <c r="L23" s="1"/>
    </row>
    <row r="24" spans="1:12" ht="15">
      <c r="A24" s="1"/>
      <c r="B24" s="2"/>
      <c r="C24" s="28"/>
      <c r="D24" s="31"/>
      <c r="G24" s="14"/>
      <c r="L24" s="1"/>
    </row>
    <row r="25" spans="1:12" ht="15">
      <c r="A25" s="1"/>
      <c r="B25" s="2" t="s">
        <v>921</v>
      </c>
      <c r="C25" s="28"/>
      <c r="D25" s="28"/>
      <c r="E25" s="639">
        <v>0.05</v>
      </c>
      <c r="F25" s="2"/>
      <c r="G25" s="14"/>
      <c r="L25" s="1"/>
    </row>
    <row r="26" spans="1:12" ht="15">
      <c r="A26" s="1"/>
      <c r="B26" s="2" t="s">
        <v>918</v>
      </c>
      <c r="C26" s="28"/>
      <c r="D26" s="28"/>
      <c r="E26" s="640">
        <v>1.0409E-2</v>
      </c>
      <c r="F26" s="2"/>
      <c r="G26" s="14"/>
      <c r="L26" s="1"/>
    </row>
    <row r="27" spans="1:12" ht="15">
      <c r="A27" s="1"/>
      <c r="B27" s="2" t="s">
        <v>449</v>
      </c>
      <c r="C27" s="28"/>
      <c r="D27" s="28"/>
      <c r="E27" s="246"/>
      <c r="F27" s="32">
        <f>ROUND(E25*E26,6)</f>
        <v>5.1999999999999995E-4</v>
      </c>
      <c r="G27" s="14"/>
      <c r="L27" s="1"/>
    </row>
    <row r="28" spans="1:12" ht="15">
      <c r="A28" s="1"/>
      <c r="B28" s="2"/>
      <c r="C28" s="28"/>
      <c r="D28" s="31"/>
      <c r="E28" s="246"/>
      <c r="F28" s="32"/>
      <c r="G28" s="14"/>
      <c r="L28" s="1"/>
    </row>
    <row r="29" spans="1:12" ht="15">
      <c r="A29" s="1"/>
      <c r="B29" s="2" t="s">
        <v>1422</v>
      </c>
      <c r="C29" s="28"/>
      <c r="D29" s="28"/>
      <c r="E29" s="639">
        <v>0.09</v>
      </c>
      <c r="F29" s="2"/>
      <c r="G29" s="14"/>
      <c r="L29" s="1"/>
    </row>
    <row r="30" spans="1:12" ht="15">
      <c r="A30" s="1"/>
      <c r="B30" s="2" t="s">
        <v>918</v>
      </c>
      <c r="C30" s="28"/>
      <c r="D30" s="28"/>
      <c r="E30" s="640">
        <v>0</v>
      </c>
      <c r="F30" s="2"/>
      <c r="G30" s="14"/>
      <c r="L30" s="1"/>
    </row>
    <row r="31" spans="1:12" ht="15">
      <c r="B31" s="2" t="s">
        <v>449</v>
      </c>
      <c r="E31" s="2"/>
      <c r="F31" s="32">
        <f>ROUND(E29*E30,6)</f>
        <v>0</v>
      </c>
    </row>
    <row r="32" spans="1:12" ht="15">
      <c r="A32" s="1"/>
      <c r="B32" s="2"/>
      <c r="C32" s="28"/>
      <c r="D32" s="28"/>
      <c r="E32" s="28"/>
      <c r="F32" s="33"/>
      <c r="G32" s="14"/>
      <c r="L32" s="1"/>
    </row>
    <row r="33" spans="1:12" ht="15">
      <c r="A33" s="1"/>
      <c r="B33" s="2" t="s">
        <v>922</v>
      </c>
      <c r="C33" s="2"/>
      <c r="D33" s="2"/>
      <c r="E33" s="639">
        <v>9.5000000000000001E-2</v>
      </c>
      <c r="F33" s="2"/>
      <c r="G33" s="14"/>
      <c r="L33" s="1"/>
    </row>
    <row r="34" spans="1:12" ht="15">
      <c r="A34" s="1"/>
      <c r="B34" s="2" t="s">
        <v>918</v>
      </c>
      <c r="E34" s="640">
        <v>1.1861999999999999E-2</v>
      </c>
      <c r="F34" s="2"/>
      <c r="L34" s="1"/>
    </row>
    <row r="35" spans="1:12" ht="15">
      <c r="A35" s="1"/>
      <c r="B35" s="2" t="s">
        <v>449</v>
      </c>
      <c r="E35" s="2"/>
      <c r="F35" s="32">
        <f>ROUND(E33*E34,6)</f>
        <v>1.127E-3</v>
      </c>
      <c r="L35" s="1"/>
    </row>
    <row r="36" spans="1:12">
      <c r="A36" s="1"/>
      <c r="L36" s="1"/>
    </row>
    <row r="37" spans="1:12" ht="21.75" customHeight="1" thickBot="1">
      <c r="A37" s="1"/>
      <c r="B37" s="2" t="s">
        <v>204</v>
      </c>
      <c r="C37" s="2"/>
      <c r="D37" s="2"/>
      <c r="E37" s="2"/>
      <c r="F37" s="107">
        <f>SUM(F11:F35)</f>
        <v>4.8076000000000001E-2</v>
      </c>
      <c r="L37" s="1"/>
    </row>
    <row r="38" spans="1:12" ht="21.75" customHeight="1" thickTop="1">
      <c r="A38" s="2"/>
      <c r="B38" s="1264" t="s">
        <v>115</v>
      </c>
      <c r="C38" s="1264"/>
      <c r="D38" s="1264"/>
      <c r="E38" s="1264"/>
      <c r="F38" s="1264"/>
      <c r="G38" s="1264"/>
      <c r="I38" s="13"/>
    </row>
    <row r="39" spans="1:12" ht="12.75" customHeight="1">
      <c r="B39" s="1264"/>
      <c r="C39" s="1264"/>
      <c r="D39" s="1264"/>
      <c r="E39" s="1264"/>
      <c r="F39" s="1264"/>
      <c r="G39" s="1264"/>
    </row>
    <row r="40" spans="1:12" ht="17.25" customHeight="1">
      <c r="B40" s="1264"/>
      <c r="C40" s="1264"/>
      <c r="D40" s="1264"/>
      <c r="E40" s="1264"/>
      <c r="F40" s="1264"/>
      <c r="G40" s="1264"/>
    </row>
    <row r="41" spans="1:12" ht="18" customHeight="1">
      <c r="A41" s="4" t="s">
        <v>500</v>
      </c>
      <c r="B41" s="4" t="s">
        <v>76</v>
      </c>
      <c r="C41" s="4"/>
      <c r="D41" s="4"/>
      <c r="E41" s="4"/>
      <c r="F41" s="4"/>
      <c r="G41" s="4"/>
    </row>
    <row r="248" spans="2:2">
      <c r="B248" t="s">
        <v>115</v>
      </c>
    </row>
  </sheetData>
  <mergeCells count="5">
    <mergeCell ref="B38:G40"/>
    <mergeCell ref="A6:G6"/>
    <mergeCell ref="A3:H3"/>
    <mergeCell ref="A4:H4"/>
    <mergeCell ref="A5:H5"/>
  </mergeCells>
  <phoneticPr fontId="0" type="noConversion"/>
  <pageMargins left="0.26" right="1.28" top="1" bottom="1" header="0.75" footer="0.5"/>
  <pageSetup scale="89" orientation="portrait" r:id="rId1"/>
  <headerFooter alignWithMargins="0">
    <oddHeader>&amp;R&amp;"Arial,Bold"Formula Rate 
&amp;A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AC76"/>
  <sheetViews>
    <sheetView tabSelected="1" view="pageBreakPreview" topLeftCell="A30" zoomScale="60" zoomScaleNormal="55" workbookViewId="0">
      <selection activeCell="D9" sqref="D9"/>
    </sheetView>
  </sheetViews>
  <sheetFormatPr defaultColWidth="9.140625" defaultRowHeight="15"/>
  <cols>
    <col min="1" max="1" width="7.42578125" style="101" customWidth="1"/>
    <col min="2" max="2" width="1.5703125" style="90" customWidth="1"/>
    <col min="3" max="3" width="62.42578125" style="90" customWidth="1"/>
    <col min="4" max="4" width="19.140625" style="90" customWidth="1"/>
    <col min="5" max="5" width="22.5703125" style="97" bestFit="1" customWidth="1"/>
    <col min="6" max="6" width="1.5703125" style="90" customWidth="1"/>
    <col min="7" max="7" width="21.85546875" style="90" customWidth="1"/>
    <col min="8" max="8" width="1.5703125" style="90" customWidth="1"/>
    <col min="9" max="9" width="21.42578125" style="90" customWidth="1"/>
    <col min="10" max="10" width="1.5703125" style="90" customWidth="1"/>
    <col min="11" max="11" width="19.42578125" style="90" bestFit="1" customWidth="1"/>
    <col min="12" max="12" width="3.42578125" style="90" customWidth="1"/>
    <col min="13" max="13" width="22.5703125" style="90" customWidth="1"/>
    <col min="14" max="14" width="1.42578125" style="90" customWidth="1"/>
    <col min="15" max="15" width="22.140625" style="181" customWidth="1"/>
    <col min="16" max="16384" width="9.140625" style="90"/>
  </cols>
  <sheetData>
    <row r="1" spans="1:29" ht="15.75">
      <c r="A1" s="669" t="s">
        <v>115</v>
      </c>
    </row>
    <row r="2" spans="1:29" ht="15.75">
      <c r="A2" s="669" t="s">
        <v>115</v>
      </c>
    </row>
    <row r="3" spans="1:29" ht="18.75" customHeight="1">
      <c r="A3" s="1230" t="s">
        <v>388</v>
      </c>
      <c r="B3" s="1230"/>
      <c r="C3" s="1230"/>
      <c r="D3" s="1230"/>
      <c r="E3" s="1230"/>
      <c r="F3" s="1230"/>
      <c r="G3" s="1230"/>
      <c r="H3" s="1230"/>
      <c r="I3" s="1230"/>
      <c r="J3" s="1230"/>
      <c r="K3" s="1230"/>
      <c r="L3" s="1230"/>
      <c r="M3" s="1230"/>
    </row>
    <row r="4" spans="1:29" ht="18.75" customHeight="1">
      <c r="A4" s="1231" t="str">
        <f>"Cost of Service Formula Rate Using Actual/Projected FF1 Balances"</f>
        <v>Cost of Service Formula Rate Using Actual/Projected FF1 Balances</v>
      </c>
      <c r="B4" s="1231"/>
      <c r="C4" s="1231"/>
      <c r="D4" s="1231"/>
      <c r="E4" s="1231"/>
      <c r="F4" s="1231"/>
      <c r="G4" s="1231"/>
      <c r="H4" s="1231"/>
      <c r="I4" s="1231"/>
      <c r="J4" s="1231"/>
      <c r="K4" s="1231"/>
      <c r="L4" s="1231"/>
      <c r="M4" s="1231"/>
    </row>
    <row r="5" spans="1:29" ht="18.75" customHeight="1">
      <c r="A5" s="1231" t="s">
        <v>239</v>
      </c>
      <c r="B5" s="1231"/>
      <c r="C5" s="1231"/>
      <c r="D5" s="1231"/>
      <c r="E5" s="1231"/>
      <c r="F5" s="1231"/>
      <c r="G5" s="1231"/>
      <c r="H5" s="1231"/>
      <c r="I5" s="1231"/>
      <c r="J5" s="1231"/>
      <c r="K5" s="1231"/>
      <c r="L5" s="1231"/>
      <c r="M5" s="1231"/>
    </row>
    <row r="6" spans="1:29" ht="18.75" customHeight="1">
      <c r="A6" s="1232" t="str">
        <f>+TCOS!F9</f>
        <v xml:space="preserve">Indiana Michigan Power Company </v>
      </c>
      <c r="B6" s="1232"/>
      <c r="C6" s="1232"/>
      <c r="D6" s="1232"/>
      <c r="E6" s="1232"/>
      <c r="F6" s="1232"/>
      <c r="G6" s="1232"/>
      <c r="H6" s="1232"/>
      <c r="I6" s="1232"/>
      <c r="J6" s="1232"/>
      <c r="K6" s="1232"/>
      <c r="L6" s="1232"/>
      <c r="M6" s="1232"/>
    </row>
    <row r="7" spans="1:29" ht="18" customHeight="1">
      <c r="A7" s="1239"/>
      <c r="B7" s="1239"/>
      <c r="C7" s="1239"/>
      <c r="D7" s="1239"/>
      <c r="E7" s="1239"/>
      <c r="F7" s="1239"/>
      <c r="G7" s="1239"/>
      <c r="H7" s="1239"/>
      <c r="I7" s="1239"/>
      <c r="J7" s="1239"/>
      <c r="K7" s="1239"/>
      <c r="L7" s="1239"/>
      <c r="M7" s="1239"/>
    </row>
    <row r="8" spans="1:29" ht="18" customHeight="1">
      <c r="A8" s="1262"/>
      <c r="B8" s="1262"/>
      <c r="C8" s="1262"/>
      <c r="D8" s="1262"/>
      <c r="E8" s="1262"/>
      <c r="F8" s="1262"/>
      <c r="G8" s="1262"/>
      <c r="H8" s="1262"/>
      <c r="I8" s="1262"/>
      <c r="J8" s="1262"/>
      <c r="K8" s="1262"/>
      <c r="L8" s="1262"/>
      <c r="M8" s="1262"/>
    </row>
    <row r="9" spans="1:29" ht="18" customHeight="1">
      <c r="A9" s="129"/>
      <c r="B9" s="129"/>
      <c r="C9" s="129"/>
      <c r="D9" s="129"/>
      <c r="E9" s="129"/>
      <c r="F9" s="129"/>
      <c r="G9" s="129"/>
      <c r="H9" s="129"/>
      <c r="I9" s="129"/>
      <c r="J9" s="129"/>
      <c r="K9" s="129"/>
      <c r="L9" s="129"/>
      <c r="M9" s="129"/>
    </row>
    <row r="10" spans="1:29" ht="19.5" customHeight="1">
      <c r="A10" s="92"/>
      <c r="B10" s="91"/>
      <c r="C10" s="27" t="s">
        <v>163</v>
      </c>
      <c r="E10" s="27" t="s">
        <v>164</v>
      </c>
      <c r="G10" s="27" t="s">
        <v>165</v>
      </c>
      <c r="I10" s="27" t="s">
        <v>166</v>
      </c>
      <c r="K10" s="27" t="s">
        <v>85</v>
      </c>
      <c r="M10" s="27" t="s">
        <v>86</v>
      </c>
    </row>
    <row r="11" spans="1:29" ht="18">
      <c r="A11" s="165"/>
      <c r="B11" s="166"/>
      <c r="C11" s="166"/>
      <c r="D11" s="166"/>
      <c r="E11"/>
      <c r="F11"/>
      <c r="G11"/>
      <c r="H11"/>
      <c r="I11"/>
      <c r="J11"/>
      <c r="K11"/>
      <c r="L11"/>
      <c r="M11"/>
      <c r="Q11" s="30"/>
      <c r="R11" s="30"/>
      <c r="S11" s="30"/>
      <c r="T11" s="30"/>
      <c r="U11" s="30"/>
      <c r="V11" s="30"/>
      <c r="W11" s="30"/>
      <c r="X11" s="30"/>
      <c r="Y11" s="30"/>
      <c r="Z11" s="30"/>
      <c r="AA11" s="30"/>
      <c r="AB11" s="30"/>
      <c r="AC11" s="30"/>
    </row>
    <row r="12" spans="1:29" ht="19.5">
      <c r="A12" s="165" t="s">
        <v>170</v>
      </c>
      <c r="B12" s="166"/>
      <c r="C12" s="166"/>
      <c r="D12" s="166"/>
      <c r="E12" s="167" t="s">
        <v>119</v>
      </c>
      <c r="F12" s="165"/>
      <c r="G12" s="165"/>
      <c r="H12" s="165"/>
      <c r="I12" s="165"/>
      <c r="J12" s="165"/>
      <c r="K12" s="96"/>
      <c r="L12" s="96"/>
      <c r="M12" s="168"/>
    </row>
    <row r="13" spans="1:29" ht="19.5">
      <c r="A13" s="169" t="s">
        <v>118</v>
      </c>
      <c r="B13" s="166"/>
      <c r="C13" s="169" t="s">
        <v>307</v>
      </c>
      <c r="D13" s="166"/>
      <c r="E13" s="170" t="s">
        <v>184</v>
      </c>
      <c r="F13" s="165"/>
      <c r="G13" s="169" t="s">
        <v>310</v>
      </c>
      <c r="H13" s="165"/>
      <c r="I13" s="169" t="s">
        <v>162</v>
      </c>
      <c r="J13" s="165"/>
      <c r="K13" s="171" t="s">
        <v>182</v>
      </c>
      <c r="L13" s="172"/>
      <c r="M13" s="171" t="s">
        <v>311</v>
      </c>
    </row>
    <row r="14" spans="1:29" ht="19.5">
      <c r="A14" s="92"/>
      <c r="B14" s="91"/>
      <c r="C14" s="89"/>
      <c r="D14" s="89"/>
      <c r="E14" s="89" t="s">
        <v>69</v>
      </c>
      <c r="F14" s="89"/>
      <c r="G14" s="89"/>
      <c r="H14" s="89"/>
      <c r="I14" s="89"/>
      <c r="J14" s="89"/>
      <c r="K14" s="88"/>
      <c r="L14" s="88"/>
    </row>
    <row r="15" spans="1:29" ht="19.5">
      <c r="A15" s="92"/>
      <c r="B15" s="91"/>
      <c r="C15" s="91"/>
      <c r="D15" s="91"/>
      <c r="E15" s="93"/>
      <c r="F15" s="91"/>
      <c r="G15" s="91"/>
      <c r="H15" s="91"/>
      <c r="I15" s="87"/>
      <c r="J15" s="91"/>
      <c r="K15" s="88"/>
      <c r="L15" s="88"/>
    </row>
    <row r="16" spans="1:29" ht="19.5">
      <c r="A16" s="92">
        <v>1</v>
      </c>
      <c r="B16" s="91"/>
      <c r="C16" s="94" t="s">
        <v>324</v>
      </c>
      <c r="D16" s="91"/>
      <c r="E16" s="88"/>
      <c r="F16" s="88"/>
      <c r="G16" s="95"/>
      <c r="H16" s="95"/>
      <c r="I16" s="95"/>
      <c r="J16" s="95"/>
      <c r="K16" s="95"/>
      <c r="L16" s="95"/>
      <c r="M16" s="95"/>
    </row>
    <row r="17" spans="1:15" ht="18">
      <c r="A17" s="92">
        <f>+A16+1</f>
        <v>2</v>
      </c>
      <c r="B17" s="91"/>
      <c r="C17" s="91" t="s">
        <v>308</v>
      </c>
      <c r="D17" s="91"/>
      <c r="E17" s="808">
        <f>'WS H-1-Detail of Tax Amts'!E15</f>
        <v>-7484</v>
      </c>
      <c r="F17" s="91"/>
      <c r="G17" s="808"/>
      <c r="H17" s="808"/>
      <c r="I17" s="808"/>
      <c r="J17" s="808"/>
      <c r="K17" s="808"/>
      <c r="L17" s="808"/>
      <c r="M17" s="808">
        <f>+E17</f>
        <v>-7484</v>
      </c>
    </row>
    <row r="18" spans="1:15" ht="18">
      <c r="A18" s="92"/>
      <c r="B18" s="91"/>
      <c r="C18" s="166"/>
      <c r="D18" s="91"/>
      <c r="E18" s="91"/>
      <c r="F18" s="91"/>
      <c r="G18" s="808"/>
      <c r="H18" s="808"/>
      <c r="I18" s="808"/>
      <c r="J18" s="808"/>
      <c r="K18" s="808"/>
      <c r="L18" s="808"/>
      <c r="M18" s="808"/>
    </row>
    <row r="19" spans="1:15" ht="18">
      <c r="A19" s="814">
        <f>+A17+1</f>
        <v>3</v>
      </c>
      <c r="B19" s="815"/>
      <c r="C19" s="982" t="s">
        <v>325</v>
      </c>
      <c r="D19" s="91"/>
      <c r="E19" s="91"/>
      <c r="F19" s="91"/>
      <c r="G19" s="808"/>
      <c r="H19" s="983"/>
      <c r="I19" s="983"/>
      <c r="J19" s="983"/>
      <c r="K19" s="983"/>
      <c r="L19" s="983"/>
      <c r="M19" s="983"/>
    </row>
    <row r="20" spans="1:15" ht="18">
      <c r="A20" s="814">
        <f>+A19+1</f>
        <v>4</v>
      </c>
      <c r="B20" s="815"/>
      <c r="C20" s="91" t="s">
        <v>925</v>
      </c>
      <c r="D20" s="91"/>
      <c r="E20" s="808">
        <f>'WS H-1-Detail of Tax Amts'!E28</f>
        <v>55619538.18</v>
      </c>
      <c r="F20" s="91"/>
      <c r="G20" s="808">
        <f>+E20</f>
        <v>55619538.18</v>
      </c>
      <c r="H20" s="983"/>
      <c r="I20" s="983"/>
      <c r="J20" s="983"/>
      <c r="K20" s="983"/>
      <c r="L20" s="983"/>
      <c r="M20" s="983"/>
      <c r="O20"/>
    </row>
    <row r="21" spans="1:15" ht="18">
      <c r="A21" s="814">
        <f>+A20+1</f>
        <v>5</v>
      </c>
      <c r="B21" s="815"/>
      <c r="C21" s="91" t="s">
        <v>926</v>
      </c>
      <c r="D21" s="91"/>
      <c r="E21" s="808">
        <f>'WS H-1-Detail of Tax Amts'!E38</f>
        <v>19243340.75</v>
      </c>
      <c r="F21" s="91"/>
      <c r="G21" s="808">
        <f>+E21</f>
        <v>19243340.75</v>
      </c>
      <c r="H21" s="983"/>
      <c r="I21" s="983"/>
      <c r="J21" s="983"/>
      <c r="K21" s="983"/>
      <c r="L21" s="983"/>
      <c r="M21" s="983"/>
      <c r="O21"/>
    </row>
    <row r="22" spans="1:15" ht="18">
      <c r="A22" s="814">
        <f>+A21+1</f>
        <v>6</v>
      </c>
      <c r="B22" s="815"/>
      <c r="C22" s="91" t="s">
        <v>464</v>
      </c>
      <c r="D22" s="808"/>
      <c r="E22" s="808">
        <f>'WS H-1-Detail of Tax Amts'!E49</f>
        <v>2103.38</v>
      </c>
      <c r="F22" s="91"/>
      <c r="G22" s="808">
        <f>+E22</f>
        <v>2103.38</v>
      </c>
      <c r="H22" s="983"/>
      <c r="I22" s="983"/>
      <c r="J22" s="983"/>
      <c r="K22" s="983"/>
      <c r="L22" s="983"/>
      <c r="M22" s="983"/>
      <c r="O22"/>
    </row>
    <row r="23" spans="1:15" ht="18">
      <c r="A23" s="92"/>
      <c r="B23" s="91"/>
      <c r="C23" s="166"/>
      <c r="D23" s="91"/>
      <c r="E23" s="91"/>
      <c r="F23" s="91"/>
      <c r="G23" s="808"/>
      <c r="H23" s="808"/>
      <c r="I23" s="808"/>
      <c r="J23" s="808"/>
      <c r="K23" s="808"/>
      <c r="L23" s="808"/>
      <c r="M23" s="808"/>
      <c r="O23" s="182"/>
    </row>
    <row r="24" spans="1:15" ht="18">
      <c r="A24" s="92">
        <f>A22+1</f>
        <v>7</v>
      </c>
      <c r="B24" s="91"/>
      <c r="C24" s="982" t="s">
        <v>326</v>
      </c>
      <c r="D24" s="91"/>
      <c r="E24" s="91"/>
      <c r="F24" s="91"/>
      <c r="G24" s="808"/>
      <c r="H24" s="808"/>
      <c r="I24" s="808"/>
      <c r="J24" s="808"/>
      <c r="K24" s="808"/>
      <c r="L24" s="808"/>
      <c r="M24" s="808"/>
      <c r="O24" s="182"/>
    </row>
    <row r="25" spans="1:15" ht="18">
      <c r="A25" s="92">
        <f>+A24+1</f>
        <v>8</v>
      </c>
      <c r="B25" s="91"/>
      <c r="C25" s="91" t="s">
        <v>322</v>
      </c>
      <c r="D25" s="91"/>
      <c r="E25" s="808">
        <f>'WS H-1-Detail of Tax Amts'!E67</f>
        <v>13968002</v>
      </c>
      <c r="F25" s="91"/>
      <c r="G25" s="808"/>
      <c r="H25" s="808"/>
      <c r="I25" s="808">
        <f>+E25</f>
        <v>13968002</v>
      </c>
      <c r="J25" s="808"/>
      <c r="K25" s="808"/>
      <c r="L25" s="808"/>
      <c r="M25" s="808"/>
      <c r="O25" s="182"/>
    </row>
    <row r="26" spans="1:15" ht="18">
      <c r="A26" s="92">
        <f>+A25+1</f>
        <v>9</v>
      </c>
      <c r="B26" s="91"/>
      <c r="C26" s="91" t="s">
        <v>315</v>
      </c>
      <c r="D26" s="91"/>
      <c r="E26" s="808">
        <f>'WS H-1-Detail of Tax Amts'!E69</f>
        <v>64286</v>
      </c>
      <c r="F26" s="91"/>
      <c r="G26" s="91"/>
      <c r="H26" s="91"/>
      <c r="I26" s="808">
        <f>+E26</f>
        <v>64286</v>
      </c>
      <c r="J26" s="91"/>
      <c r="K26" s="91"/>
      <c r="L26" s="91"/>
      <c r="M26" s="808"/>
    </row>
    <row r="27" spans="1:15" ht="18">
      <c r="A27" s="92">
        <f>+A26+1</f>
        <v>10</v>
      </c>
      <c r="B27" s="91"/>
      <c r="C27" s="91" t="s">
        <v>316</v>
      </c>
      <c r="D27" s="91"/>
      <c r="E27" s="808">
        <f>'WS H-1-Detail of Tax Amts'!E71</f>
        <v>98896</v>
      </c>
      <c r="F27" s="91"/>
      <c r="G27" s="91"/>
      <c r="H27" s="91"/>
      <c r="I27" s="808">
        <f>+E27</f>
        <v>98896</v>
      </c>
      <c r="J27" s="93"/>
      <c r="K27" s="91"/>
      <c r="L27" s="91"/>
      <c r="M27" s="808"/>
    </row>
    <row r="28" spans="1:15" ht="18">
      <c r="A28" s="92" t="s">
        <v>115</v>
      </c>
      <c r="B28" s="91"/>
      <c r="C28" s="91"/>
      <c r="D28" s="91"/>
      <c r="E28" s="91"/>
      <c r="F28" s="91"/>
      <c r="G28" s="91"/>
      <c r="H28" s="91"/>
      <c r="I28" s="182"/>
      <c r="J28" s="102"/>
      <c r="K28" s="104"/>
      <c r="L28" s="104"/>
      <c r="M28" s="808"/>
    </row>
    <row r="29" spans="1:15" ht="18">
      <c r="A29" s="92">
        <f>A27+1</f>
        <v>11</v>
      </c>
      <c r="B29" s="91"/>
      <c r="C29" s="982" t="s">
        <v>441</v>
      </c>
      <c r="D29" s="91"/>
      <c r="E29" s="91"/>
      <c r="F29" s="91"/>
      <c r="G29" s="91"/>
      <c r="H29" s="91"/>
      <c r="I29" s="182"/>
      <c r="J29" s="102"/>
      <c r="K29" s="104"/>
      <c r="L29" s="104"/>
      <c r="M29" s="808"/>
    </row>
    <row r="30" spans="1:15" ht="18">
      <c r="A30" s="92">
        <f>A29+1</f>
        <v>12</v>
      </c>
      <c r="B30" s="91"/>
      <c r="C30" s="91" t="s">
        <v>442</v>
      </c>
      <c r="D30" s="984"/>
      <c r="E30" s="808">
        <f>'WS H-1-Detail of Tax Amts'!E77</f>
        <v>0</v>
      </c>
      <c r="F30" s="91"/>
      <c r="G30" s="91"/>
      <c r="H30" s="91"/>
      <c r="I30" s="182"/>
      <c r="J30" s="102"/>
      <c r="K30" s="104"/>
      <c r="L30" s="104"/>
      <c r="M30" s="808">
        <f>E30</f>
        <v>0</v>
      </c>
    </row>
    <row r="31" spans="1:15" ht="18">
      <c r="A31" s="92"/>
      <c r="B31" s="91"/>
      <c r="C31" s="91"/>
      <c r="D31" s="91"/>
      <c r="E31" s="91"/>
      <c r="F31" s="91"/>
      <c r="G31" s="91"/>
      <c r="H31" s="91"/>
      <c r="I31" s="182"/>
      <c r="J31" s="102"/>
      <c r="K31" s="104"/>
      <c r="L31" s="104"/>
      <c r="M31" s="808"/>
    </row>
    <row r="32" spans="1:15" ht="18">
      <c r="A32" s="98">
        <f>+A30+1</f>
        <v>13</v>
      </c>
      <c r="B32" s="99"/>
      <c r="C32" s="982" t="s">
        <v>323</v>
      </c>
      <c r="D32" s="985"/>
      <c r="E32" s="91"/>
      <c r="F32" s="91"/>
      <c r="G32" s="808"/>
      <c r="H32" s="808"/>
      <c r="I32" s="808"/>
      <c r="J32" s="808"/>
      <c r="K32" s="808"/>
      <c r="L32" s="808"/>
      <c r="M32" s="808"/>
    </row>
    <row r="33" spans="1:13" ht="18">
      <c r="A33" s="98">
        <f>A32+1</f>
        <v>14</v>
      </c>
      <c r="B33" s="99"/>
      <c r="C33" s="91" t="s">
        <v>440</v>
      </c>
      <c r="D33" s="985"/>
      <c r="E33" s="808">
        <f>'WS H-1-Detail of Tax Amts'!E81</f>
        <v>0</v>
      </c>
      <c r="F33" s="91"/>
      <c r="G33" s="808"/>
      <c r="H33" s="808"/>
      <c r="I33" s="808"/>
      <c r="J33" s="808"/>
      <c r="K33" s="808"/>
      <c r="L33" s="808"/>
      <c r="M33" s="808">
        <f>E33</f>
        <v>0</v>
      </c>
    </row>
    <row r="34" spans="1:13" ht="18">
      <c r="A34" s="92">
        <f>A33+1</f>
        <v>15</v>
      </c>
      <c r="B34" s="91"/>
      <c r="C34" s="91" t="s">
        <v>941</v>
      </c>
      <c r="D34" s="91"/>
      <c r="E34" s="808">
        <f>'WS H-1-Detail of Tax Amts'!E85</f>
        <v>0</v>
      </c>
      <c r="F34" s="91"/>
      <c r="G34" s="808"/>
      <c r="H34" s="808"/>
      <c r="I34" s="808"/>
      <c r="J34" s="808"/>
      <c r="K34" s="808">
        <f>+E34</f>
        <v>0</v>
      </c>
      <c r="L34" s="808"/>
      <c r="M34" s="808"/>
    </row>
    <row r="35" spans="1:13" ht="18">
      <c r="A35" s="92">
        <f t="shared" ref="A35:A41" si="0">+A34+1</f>
        <v>16</v>
      </c>
      <c r="B35" s="91"/>
      <c r="C35" s="91" t="s">
        <v>942</v>
      </c>
      <c r="D35" s="203"/>
      <c r="E35" s="808">
        <f>'WS H-1-Detail of Tax Amts'!E90</f>
        <v>0</v>
      </c>
      <c r="F35" s="91"/>
      <c r="G35" s="808"/>
      <c r="H35" s="808"/>
      <c r="I35" s="808"/>
      <c r="J35" s="808"/>
      <c r="K35" s="808">
        <f>+E35</f>
        <v>0</v>
      </c>
      <c r="L35" s="808"/>
      <c r="M35" s="808"/>
    </row>
    <row r="36" spans="1:13" ht="18">
      <c r="A36" s="92">
        <f>+A35+1</f>
        <v>17</v>
      </c>
      <c r="B36" s="91"/>
      <c r="C36" s="91" t="s">
        <v>943</v>
      </c>
      <c r="D36" s="203"/>
      <c r="E36" s="808">
        <f>'WS H-1-Detail of Tax Amts'!E100</f>
        <v>0</v>
      </c>
      <c r="F36" s="91"/>
      <c r="G36" s="808"/>
      <c r="H36" s="808"/>
      <c r="I36" s="808"/>
      <c r="J36" s="808"/>
      <c r="K36" s="808">
        <f>+E36</f>
        <v>0</v>
      </c>
      <c r="L36" s="808"/>
      <c r="M36" s="808"/>
    </row>
    <row r="37" spans="1:13" ht="18">
      <c r="A37" s="92">
        <f t="shared" si="0"/>
        <v>18</v>
      </c>
      <c r="B37" s="91"/>
      <c r="C37" s="91" t="s">
        <v>944</v>
      </c>
      <c r="D37" s="91"/>
      <c r="E37" s="808">
        <f>'WS H-1-Detail of Tax Amts'!E107</f>
        <v>0</v>
      </c>
      <c r="F37" s="91"/>
      <c r="G37" s="808"/>
      <c r="H37" s="808"/>
      <c r="I37" s="808"/>
      <c r="J37" s="808"/>
      <c r="K37" s="808">
        <f>+E37</f>
        <v>0</v>
      </c>
      <c r="L37" s="808"/>
      <c r="M37" s="808"/>
    </row>
    <row r="38" spans="1:13" ht="18">
      <c r="A38" s="92">
        <f t="shared" si="0"/>
        <v>19</v>
      </c>
      <c r="B38" s="91"/>
      <c r="C38" s="91" t="s">
        <v>945</v>
      </c>
      <c r="D38" s="91"/>
      <c r="E38" s="808">
        <f>'WS H-1-Detail of Tax Amts'!E110</f>
        <v>24605</v>
      </c>
      <c r="F38" s="91"/>
      <c r="G38" s="808"/>
      <c r="H38" s="808"/>
      <c r="I38" s="808"/>
      <c r="J38" s="808"/>
      <c r="K38" s="808"/>
      <c r="L38" s="808"/>
      <c r="M38" s="808">
        <f>+E38</f>
        <v>24605</v>
      </c>
    </row>
    <row r="39" spans="1:13" ht="19.5">
      <c r="A39" s="92">
        <f t="shared" si="0"/>
        <v>20</v>
      </c>
      <c r="B39" s="88"/>
      <c r="C39" s="91" t="s">
        <v>309</v>
      </c>
      <c r="D39" s="91"/>
      <c r="E39" s="808">
        <f>'WS H-1-Detail of Tax Amts'!E116</f>
        <v>45518</v>
      </c>
      <c r="F39" s="91"/>
      <c r="G39" s="808"/>
      <c r="H39" s="808"/>
      <c r="I39" s="808"/>
      <c r="J39" s="808"/>
      <c r="K39" s="808"/>
      <c r="L39" s="808"/>
      <c r="M39" s="808">
        <f>+E39</f>
        <v>45518</v>
      </c>
    </row>
    <row r="40" spans="1:13" ht="19.5">
      <c r="A40" s="92">
        <f t="shared" si="0"/>
        <v>21</v>
      </c>
      <c r="B40" s="88"/>
      <c r="C40" s="15" t="s">
        <v>1062</v>
      </c>
      <c r="D40" s="91"/>
      <c r="E40" s="808">
        <f>'WS H-1-Detail of Tax Amts'!E119</f>
        <v>0</v>
      </c>
      <c r="F40" s="91"/>
      <c r="G40" s="808"/>
      <c r="H40" s="808"/>
      <c r="I40" s="808"/>
      <c r="J40" s="808"/>
      <c r="K40" s="808"/>
      <c r="L40" s="808"/>
      <c r="M40" s="808">
        <f>+E40</f>
        <v>0</v>
      </c>
    </row>
    <row r="41" spans="1:13" ht="19.5">
      <c r="A41" s="92">
        <f t="shared" si="0"/>
        <v>22</v>
      </c>
      <c r="B41" s="88"/>
      <c r="C41" s="15"/>
      <c r="D41" s="91"/>
      <c r="E41" s="808"/>
      <c r="F41" s="91"/>
      <c r="G41" s="808"/>
      <c r="H41" s="808"/>
      <c r="I41" s="808"/>
      <c r="J41" s="808"/>
      <c r="K41" s="808"/>
      <c r="L41" s="808"/>
      <c r="M41" s="808"/>
    </row>
    <row r="42" spans="1:13" ht="18.75" thickBot="1">
      <c r="A42" s="92">
        <f>A41+1</f>
        <v>23</v>
      </c>
      <c r="B42" s="72"/>
      <c r="C42" s="91" t="s">
        <v>312</v>
      </c>
      <c r="D42" s="203"/>
      <c r="E42" s="986">
        <f>SUM(E17:E40)</f>
        <v>89058805.310000002</v>
      </c>
      <c r="F42" s="91"/>
      <c r="G42" s="986">
        <f>SUM(G17:G40)</f>
        <v>74864982.310000002</v>
      </c>
      <c r="H42" s="987"/>
      <c r="I42" s="986">
        <f>SUM(I17:I40)</f>
        <v>14131184</v>
      </c>
      <c r="J42" s="103"/>
      <c r="K42" s="986">
        <f>SUM(K17:K40)</f>
        <v>0</v>
      </c>
      <c r="L42" s="104"/>
      <c r="M42" s="986">
        <f>SUM(M17:M40)</f>
        <v>62639</v>
      </c>
    </row>
    <row r="43" spans="1:13" ht="18.75" thickTop="1">
      <c r="A43" s="4"/>
      <c r="B43" s="72"/>
      <c r="C43" s="91" t="s">
        <v>382</v>
      </c>
      <c r="D43" s="203"/>
      <c r="E43" s="203"/>
      <c r="F43" s="91"/>
      <c r="G43" s="987"/>
      <c r="H43" s="987"/>
      <c r="I43" s="103"/>
      <c r="J43" s="103"/>
      <c r="K43" s="104"/>
      <c r="L43" s="104"/>
      <c r="M43" s="104"/>
    </row>
    <row r="44" spans="1:13" ht="18">
      <c r="A44" s="4"/>
      <c r="B44" s="72"/>
      <c r="C44" s="91" t="s">
        <v>80</v>
      </c>
      <c r="D44" s="203"/>
      <c r="E44" s="203"/>
      <c r="F44" s="91"/>
      <c r="G44" s="987"/>
      <c r="H44" s="987"/>
      <c r="I44" s="103"/>
      <c r="J44" s="103"/>
      <c r="K44" s="104"/>
      <c r="L44" s="104"/>
      <c r="M44" s="104"/>
    </row>
    <row r="45" spans="1:13" ht="18">
      <c r="A45" s="4"/>
      <c r="B45" s="72"/>
      <c r="C45" s="1265" t="s">
        <v>463</v>
      </c>
      <c r="D45" s="1265"/>
      <c r="E45" s="1265"/>
      <c r="F45" s="1265"/>
      <c r="G45" s="1265"/>
      <c r="H45" s="1265"/>
      <c r="I45" s="1265"/>
      <c r="J45" s="1265"/>
      <c r="K45" s="1265"/>
      <c r="L45" s="1265"/>
      <c r="M45" s="1265"/>
    </row>
    <row r="46" spans="1:13" ht="18">
      <c r="A46" s="92"/>
      <c r="C46" s="91"/>
      <c r="D46" s="91"/>
      <c r="E46" s="988" t="s">
        <v>230</v>
      </c>
      <c r="F46" s="989"/>
      <c r="G46" s="988" t="s">
        <v>334</v>
      </c>
      <c r="H46" s="988"/>
      <c r="I46" s="988" t="s">
        <v>439</v>
      </c>
      <c r="J46" s="988"/>
      <c r="K46" s="988" t="s">
        <v>335</v>
      </c>
      <c r="L46" s="988"/>
      <c r="M46" s="988" t="s">
        <v>119</v>
      </c>
    </row>
    <row r="47" spans="1:13" ht="18">
      <c r="A47" s="92">
        <f>+A42+1</f>
        <v>24</v>
      </c>
      <c r="C47" s="990" t="str">
        <f>"Functionalized Net Plant (TCOS, Lns "&amp;TCOS!B94&amp;" thru "&amp;TCOS!B100&amp;")"</f>
        <v>Functionalized Net Plant (TCOS, Lns 41 thru 46)</v>
      </c>
      <c r="D47" s="91"/>
      <c r="E47" s="991">
        <f>+TCOS!G94</f>
        <v>2193390494.9300003</v>
      </c>
      <c r="F47" s="990"/>
      <c r="G47" s="991">
        <f>+TCOS!G95</f>
        <v>1499904414.879231</v>
      </c>
      <c r="H47" s="990"/>
      <c r="I47" s="991">
        <f>+TCOS!G96</f>
        <v>2882376423.5999999</v>
      </c>
      <c r="J47" s="990"/>
      <c r="K47" s="991">
        <f>+TCOS!G97</f>
        <v>372848841.10846162</v>
      </c>
      <c r="L47" s="91"/>
      <c r="M47" s="992">
        <f>SUM(E47:K47)</f>
        <v>6948520174.5176926</v>
      </c>
    </row>
    <row r="48" spans="1:13" ht="18">
      <c r="A48" s="92"/>
      <c r="C48" s="166" t="s">
        <v>923</v>
      </c>
      <c r="D48" s="91"/>
      <c r="E48" s="992"/>
      <c r="F48" s="91"/>
      <c r="G48" s="993"/>
      <c r="H48" s="91"/>
      <c r="I48" s="992"/>
      <c r="J48" s="91"/>
      <c r="K48" s="992"/>
      <c r="L48" s="91"/>
      <c r="M48" s="994"/>
    </row>
    <row r="49" spans="1:21" ht="18">
      <c r="A49" s="92">
        <f>+A47+1</f>
        <v>25</v>
      </c>
      <c r="C49" s="91" t="str">
        <f>"Percentage of Plant in "&amp;C48&amp;""</f>
        <v>Percentage of Plant in MICHIGAN JURISDICTION</v>
      </c>
      <c r="D49" s="91"/>
      <c r="E49" s="995">
        <v>0.82238433968691804</v>
      </c>
      <c r="F49" s="996"/>
      <c r="G49" s="995">
        <v>0.15221847261344501</v>
      </c>
      <c r="H49" s="996"/>
      <c r="I49" s="995">
        <v>0.179381236884089</v>
      </c>
      <c r="J49" s="993"/>
      <c r="K49" s="995">
        <v>8.7732630654408394E-2</v>
      </c>
      <c r="L49" s="91"/>
      <c r="M49" s="994"/>
    </row>
    <row r="50" spans="1:21" ht="18">
      <c r="A50" s="92">
        <f t="shared" ref="A50:A56" si="1">+A49+1</f>
        <v>26</v>
      </c>
      <c r="C50" s="990" t="str">
        <f>"Net Plant in "&amp;C48&amp;" (Ln "&amp;A47&amp;" * Ln "&amp;A49&amp;")"</f>
        <v>Net Plant in MICHIGAN JURISDICTION (Ln 24 * Ln 25)</v>
      </c>
      <c r="D50" s="91"/>
      <c r="E50" s="992">
        <f>+E47*E49</f>
        <v>1803809993.8485706</v>
      </c>
      <c r="F50" s="91"/>
      <c r="G50" s="992">
        <f>+G47*G49</f>
        <v>228313159.09907949</v>
      </c>
      <c r="H50" s="91"/>
      <c r="I50" s="992">
        <f>+I47*I49</f>
        <v>517044248.03090483</v>
      </c>
      <c r="J50" s="91"/>
      <c r="K50" s="992">
        <f>+K47*K49</f>
        <v>32711009.666892864</v>
      </c>
      <c r="L50" s="91"/>
      <c r="M50" s="992">
        <f>SUM(E50:K50)</f>
        <v>2581878410.6454477</v>
      </c>
      <c r="O50"/>
    </row>
    <row r="51" spans="1:21" ht="18">
      <c r="A51" s="92">
        <f t="shared" si="1"/>
        <v>27</v>
      </c>
      <c r="C51" s="990" t="s">
        <v>226</v>
      </c>
      <c r="D51" s="91"/>
      <c r="E51" s="1081">
        <v>564641017</v>
      </c>
      <c r="F51" s="91"/>
      <c r="G51" s="997"/>
      <c r="H51" s="91"/>
      <c r="I51" s="997"/>
      <c r="J51" s="91"/>
      <c r="K51" s="997"/>
      <c r="L51" s="91"/>
      <c r="M51" s="992"/>
      <c r="O51"/>
    </row>
    <row r="52" spans="1:21" ht="18">
      <c r="A52" s="92">
        <f t="shared" si="1"/>
        <v>28</v>
      </c>
      <c r="C52" s="91" t="str">
        <f>"Taxable Property Basis (Ln "&amp;A50&amp;" - Ln "&amp;A51&amp;")"</f>
        <v>Taxable Property Basis (Ln 26 - Ln 27)</v>
      </c>
      <c r="D52" s="91"/>
      <c r="E52" s="992">
        <f>+E50-E51</f>
        <v>1239168976.8485706</v>
      </c>
      <c r="F52" s="91"/>
      <c r="G52" s="992">
        <f>+G50-G51</f>
        <v>228313159.09907949</v>
      </c>
      <c r="H52" s="91"/>
      <c r="I52" s="992">
        <f>+I50-I51</f>
        <v>517044248.03090483</v>
      </c>
      <c r="J52" s="91"/>
      <c r="K52" s="992">
        <f>+K50-K51</f>
        <v>32711009.666892864</v>
      </c>
      <c r="L52" s="91"/>
      <c r="M52" s="992">
        <f>SUM(E52:K52)</f>
        <v>2017237393.6454475</v>
      </c>
      <c r="O52"/>
    </row>
    <row r="53" spans="1:21" ht="18">
      <c r="A53" s="92">
        <f t="shared" si="1"/>
        <v>29</v>
      </c>
      <c r="C53" s="808" t="s">
        <v>462</v>
      </c>
      <c r="D53" s="91"/>
      <c r="E53" s="995">
        <v>1</v>
      </c>
      <c r="F53" s="996"/>
      <c r="G53" s="995">
        <v>1</v>
      </c>
      <c r="H53" s="996"/>
      <c r="I53" s="995">
        <v>1</v>
      </c>
      <c r="J53" s="993"/>
      <c r="K53" s="995">
        <v>1</v>
      </c>
      <c r="L53" s="91"/>
      <c r="M53" s="998">
        <f>SUM(E53:K53)</f>
        <v>4</v>
      </c>
      <c r="O53"/>
    </row>
    <row r="54" spans="1:21" ht="18">
      <c r="A54" s="92">
        <f t="shared" si="1"/>
        <v>30</v>
      </c>
      <c r="C54" s="990" t="str">
        <f>"Weighted Net Plant (Ln "&amp;A52&amp;" * Ln "&amp;A53&amp;")"</f>
        <v>Weighted Net Plant (Ln 28 * Ln 29)</v>
      </c>
      <c r="D54" s="91"/>
      <c r="E54" s="992">
        <f>+E52*E53</f>
        <v>1239168976.8485706</v>
      </c>
      <c r="F54" s="91"/>
      <c r="G54" s="992">
        <f>+G52*G53</f>
        <v>228313159.09907949</v>
      </c>
      <c r="H54" s="91"/>
      <c r="I54" s="992">
        <f>+I52*I53</f>
        <v>517044248.03090483</v>
      </c>
      <c r="J54" s="91"/>
      <c r="K54" s="992">
        <f>+K52*K53</f>
        <v>32711009.666892864</v>
      </c>
      <c r="L54" s="91"/>
      <c r="M54" s="992"/>
      <c r="O54"/>
      <c r="P54"/>
      <c r="Q54"/>
      <c r="R54"/>
      <c r="S54"/>
      <c r="T54"/>
      <c r="U54"/>
    </row>
    <row r="55" spans="1:21" ht="18">
      <c r="A55" s="92">
        <f t="shared" si="1"/>
        <v>31</v>
      </c>
      <c r="C55" s="91" t="str">
        <f>+"General Plant Allocator (Ln "&amp;A54&amp;" / (Total - General Plant))"</f>
        <v>General Plant Allocator (Ln 30 / (Total - General Plant))</v>
      </c>
      <c r="D55" s="91"/>
      <c r="E55" s="999">
        <f>IF(E53=0,0,+E54/($E54+$G54+$I54))</f>
        <v>0.62441547104266737</v>
      </c>
      <c r="F55" s="91"/>
      <c r="G55" s="999">
        <f>IF(G53=0,0,+G54/($E54+$G54+$I54))</f>
        <v>0.11504667357526384</v>
      </c>
      <c r="H55" s="91"/>
      <c r="I55" s="999">
        <f>IF(I53=0,0,+I54/($E54+$G54+$I54))</f>
        <v>0.26053785538206892</v>
      </c>
      <c r="J55" s="91"/>
      <c r="K55" s="999">
        <v>-1</v>
      </c>
      <c r="L55" s="91"/>
      <c r="M55" s="91"/>
      <c r="O55"/>
      <c r="P55"/>
      <c r="Q55"/>
      <c r="R55"/>
      <c r="S55"/>
      <c r="T55"/>
      <c r="U55"/>
    </row>
    <row r="56" spans="1:21" ht="18">
      <c r="A56" s="92">
        <f t="shared" si="1"/>
        <v>32</v>
      </c>
      <c r="C56" s="91" t="str">
        <f>"Functionalized General Plant (Ln "&amp;A55&amp;" * General Plant)"</f>
        <v>Functionalized General Plant (Ln 31 * General Plant)</v>
      </c>
      <c r="D56" s="91"/>
      <c r="E56" s="1000">
        <f>ROUND($K54*E55,0)</f>
        <v>20425261</v>
      </c>
      <c r="F56" s="91"/>
      <c r="G56" s="1000">
        <f>+G55*K54</f>
        <v>3763292.8514643232</v>
      </c>
      <c r="H56" s="91"/>
      <c r="I56" s="1000">
        <f>ROUND($K54*I55,0)</f>
        <v>8522456</v>
      </c>
      <c r="J56" s="91"/>
      <c r="K56" s="1000">
        <f>ROUND($K54*K55,0)</f>
        <v>-32711010</v>
      </c>
      <c r="L56" s="91"/>
      <c r="M56" s="992">
        <f>IF(SUM(E56:K56)&lt;&gt;0,0,0)</f>
        <v>0</v>
      </c>
      <c r="O56"/>
      <c r="P56"/>
      <c r="Q56"/>
      <c r="R56"/>
      <c r="S56"/>
      <c r="T56"/>
      <c r="U56"/>
    </row>
    <row r="57" spans="1:21" ht="18">
      <c r="A57" s="92">
        <f>+A56+1</f>
        <v>33</v>
      </c>
      <c r="C57" s="91" t="str">
        <f>"Weighted "&amp;C48&amp;" Plant (Ln "&amp;A54&amp;" + "&amp;A56&amp;")"</f>
        <v>Weighted MICHIGAN JURISDICTION Plant (Ln 30 + 32)</v>
      </c>
      <c r="D57" s="91"/>
      <c r="E57" s="992">
        <f>+E54+E56</f>
        <v>1259594237.8485706</v>
      </c>
      <c r="F57" s="91"/>
      <c r="G57" s="992">
        <f>+G54+G56</f>
        <v>232076451.95054382</v>
      </c>
      <c r="H57" s="91"/>
      <c r="I57" s="992">
        <f>+I54+I56</f>
        <v>525566704.03090483</v>
      </c>
      <c r="J57" s="91"/>
      <c r="K57" s="992">
        <f>+K54+K56</f>
        <v>-0.33310713618993759</v>
      </c>
      <c r="L57" s="91"/>
      <c r="M57" s="992">
        <f>SUM(E57:K57)-SUM(E56:K56)</f>
        <v>2017237393.6454477</v>
      </c>
      <c r="O57"/>
    </row>
    <row r="58" spans="1:21" ht="18">
      <c r="A58" s="92">
        <f>+A57+1</f>
        <v>34</v>
      </c>
      <c r="C58" s="91" t="str">
        <f>"Functional Percentage (Ln "&amp;A57&amp;"/Total Ln "&amp;A57&amp;")"</f>
        <v>Functional Percentage (Ln 33/Total Ln 33)</v>
      </c>
      <c r="D58" s="91"/>
      <c r="E58" s="993">
        <f>+E57/M57</f>
        <v>0.62441547128585428</v>
      </c>
      <c r="F58" s="91"/>
      <c r="G58" s="1001">
        <f>+G57/M57</f>
        <v>0.11504667357526384</v>
      </c>
      <c r="H58" s="91"/>
      <c r="I58" s="993">
        <f>+I57/M57</f>
        <v>0.26053785523037903</v>
      </c>
      <c r="J58" s="91"/>
      <c r="K58" s="203"/>
      <c r="L58" s="91"/>
      <c r="M58" s="992"/>
      <c r="O58"/>
    </row>
    <row r="59" spans="1:21" ht="18">
      <c r="A59" s="92"/>
      <c r="C59" s="166" t="s">
        <v>924</v>
      </c>
      <c r="D59" s="91"/>
      <c r="E59" s="992"/>
      <c r="F59" s="91"/>
      <c r="G59" s="992"/>
      <c r="H59" s="91"/>
      <c r="I59" s="992"/>
      <c r="J59" s="91"/>
      <c r="K59" s="992"/>
      <c r="L59" s="91"/>
      <c r="M59" s="992"/>
      <c r="O59"/>
    </row>
    <row r="60" spans="1:21" ht="18">
      <c r="A60" s="92">
        <f>+A58+1</f>
        <v>35</v>
      </c>
      <c r="C60" s="91" t="str">
        <f>"Percentage of Plant in "&amp;C59&amp;""</f>
        <v>Percentage of Plant in INDIANA JURISDICTION</v>
      </c>
      <c r="D60" s="91"/>
      <c r="E60" s="995">
        <v>0.17761566031308201</v>
      </c>
      <c r="F60" s="996"/>
      <c r="G60" s="995">
        <v>0.84778152738655399</v>
      </c>
      <c r="H60" s="996"/>
      <c r="I60" s="995">
        <v>0.82061876311591098</v>
      </c>
      <c r="J60" s="993"/>
      <c r="K60" s="995">
        <v>0.90887857260247196</v>
      </c>
      <c r="L60" s="91"/>
      <c r="M60" s="1002"/>
      <c r="O60"/>
    </row>
    <row r="61" spans="1:21" ht="18">
      <c r="A61" s="92">
        <f t="shared" ref="A61:A68" si="2">+A60+1</f>
        <v>36</v>
      </c>
      <c r="C61" s="990" t="str">
        <f>"Net Plant in "&amp;C59&amp;" (Ln "&amp;A47&amp;" * Ln "&amp;A60&amp;")"</f>
        <v>Net Plant in INDIANA JURISDICTION (Ln 24 * Ln 35)</v>
      </c>
      <c r="D61" s="203"/>
      <c r="E61" s="992">
        <f>+E60*E47</f>
        <v>389580501.08142978</v>
      </c>
      <c r="F61" s="91"/>
      <c r="G61" s="992">
        <f>+G60*G47</f>
        <v>1271591255.7801499</v>
      </c>
      <c r="H61" s="91"/>
      <c r="I61" s="992">
        <f>+I60*I47</f>
        <v>2365332175.5690951</v>
      </c>
      <c r="J61" s="91"/>
      <c r="K61" s="992">
        <f>+K60*K47</f>
        <v>338874322.50314444</v>
      </c>
      <c r="L61" s="91"/>
      <c r="M61" s="992">
        <f>SUM(E61:K61)</f>
        <v>4365378254.9338188</v>
      </c>
      <c r="O61"/>
    </row>
    <row r="62" spans="1:21" ht="18">
      <c r="A62" s="92">
        <f t="shared" si="2"/>
        <v>37</v>
      </c>
      <c r="C62" s="990" t="s">
        <v>226</v>
      </c>
      <c r="D62" s="203"/>
      <c r="E62" s="1081">
        <v>99737612</v>
      </c>
      <c r="F62" s="91"/>
      <c r="G62" s="997"/>
      <c r="H62" s="91"/>
      <c r="I62" s="997"/>
      <c r="J62" s="91"/>
      <c r="K62" s="997"/>
      <c r="L62" s="91"/>
      <c r="M62" s="992"/>
      <c r="O62"/>
    </row>
    <row r="63" spans="1:21" ht="18">
      <c r="A63" s="92">
        <f t="shared" si="2"/>
        <v>38</v>
      </c>
      <c r="C63" s="91" t="str">
        <f>"Taxable Property Basis (Ln "&amp;A61&amp;" - Ln "&amp;A62&amp;")"</f>
        <v>Taxable Property Basis (Ln 36 - Ln 37)</v>
      </c>
      <c r="D63" s="203"/>
      <c r="E63" s="992">
        <f>+E61-E62</f>
        <v>289842889.08142978</v>
      </c>
      <c r="F63" s="91"/>
      <c r="G63" s="992">
        <f>+G61-G62</f>
        <v>1271591255.7801499</v>
      </c>
      <c r="H63" s="91"/>
      <c r="I63" s="992">
        <f>+I61-I62</f>
        <v>2365332175.5690951</v>
      </c>
      <c r="J63" s="91"/>
      <c r="K63" s="992">
        <f>+K61-K62</f>
        <v>338874322.50314444</v>
      </c>
      <c r="L63" s="91"/>
      <c r="M63" s="992">
        <f>SUM(E63:K63)</f>
        <v>4265640642.9338188</v>
      </c>
      <c r="O63"/>
    </row>
    <row r="64" spans="1:21" ht="18">
      <c r="A64" s="92">
        <f t="shared" si="2"/>
        <v>39</v>
      </c>
      <c r="C64" s="808" t="s">
        <v>462</v>
      </c>
      <c r="D64" s="203"/>
      <c r="E64" s="995">
        <v>1</v>
      </c>
      <c r="F64" s="996"/>
      <c r="G64" s="995">
        <v>1</v>
      </c>
      <c r="H64" s="996"/>
      <c r="I64" s="995">
        <v>1</v>
      </c>
      <c r="J64" s="993"/>
      <c r="K64" s="995">
        <v>1</v>
      </c>
      <c r="L64" s="91"/>
      <c r="M64" s="998">
        <f>SUM(E64:K64)</f>
        <v>4</v>
      </c>
      <c r="O64"/>
    </row>
    <row r="65" spans="1:15" ht="18">
      <c r="A65" s="92">
        <f t="shared" si="2"/>
        <v>40</v>
      </c>
      <c r="C65" s="990" t="str">
        <f>"Weighted Net Plant (Ln "&amp;A63&amp;" * Ln "&amp;A64&amp;")"</f>
        <v>Weighted Net Plant (Ln 38 * Ln 39)</v>
      </c>
      <c r="D65" s="203"/>
      <c r="E65" s="992">
        <f>+E63*E64</f>
        <v>289842889.08142978</v>
      </c>
      <c r="F65" s="91"/>
      <c r="G65" s="992">
        <f>+G63*G64</f>
        <v>1271591255.7801499</v>
      </c>
      <c r="H65" s="91"/>
      <c r="I65" s="992">
        <f>+I63*I64</f>
        <v>2365332175.5690951</v>
      </c>
      <c r="J65" s="91"/>
      <c r="K65" s="992">
        <f>+K63*K64</f>
        <v>338874322.50314444</v>
      </c>
      <c r="L65" s="91"/>
      <c r="M65" s="992"/>
      <c r="O65"/>
    </row>
    <row r="66" spans="1:15" ht="18">
      <c r="A66" s="92">
        <f t="shared" si="2"/>
        <v>41</v>
      </c>
      <c r="C66" s="91" t="str">
        <f>+"General Plant Allocator (Ln "&amp;A65&amp;" / (Total - General Plant))"</f>
        <v>General Plant Allocator (Ln 40 / (Total - General Plant))</v>
      </c>
      <c r="D66" s="91"/>
      <c r="E66" s="999">
        <f>IF(E64=0,0,+E65/($E65+$G65+$I65))</f>
        <v>7.3812105287090465E-2</v>
      </c>
      <c r="F66" s="91"/>
      <c r="G66" s="999">
        <f>IF(G64=0,0,+G65/($E65+$G65+$I65))</f>
        <v>0.32382656670048193</v>
      </c>
      <c r="H66" s="91"/>
      <c r="I66" s="999">
        <f>IF(I64=0,0,+I65/($E65+$G65+$I65))</f>
        <v>0.6023613280124277</v>
      </c>
      <c r="J66" s="91"/>
      <c r="K66" s="999">
        <v>-1</v>
      </c>
      <c r="L66" s="91"/>
      <c r="M66" s="91"/>
      <c r="O66"/>
    </row>
    <row r="67" spans="1:15" ht="18">
      <c r="A67" s="92">
        <f t="shared" si="2"/>
        <v>42</v>
      </c>
      <c r="C67" s="91" t="str">
        <f>"Functionalized General Plant (Ln "&amp;A66&amp;" * General Plant)"</f>
        <v>Functionalized General Plant (Ln 41 * General Plant)</v>
      </c>
      <c r="D67" s="91"/>
      <c r="E67" s="1000">
        <f>ROUND($K65*E66,0)</f>
        <v>25013027</v>
      </c>
      <c r="F67" s="91"/>
      <c r="G67" s="1000">
        <f>+G66*K65</f>
        <v>109736508.39914513</v>
      </c>
      <c r="H67" s="91"/>
      <c r="I67" s="1000">
        <f>ROUND($K65*I66,0)</f>
        <v>204124787</v>
      </c>
      <c r="J67" s="91"/>
      <c r="K67" s="1000">
        <f>ROUND($K65*K66,0)</f>
        <v>-338874323</v>
      </c>
      <c r="L67" s="91"/>
      <c r="M67" s="992">
        <f>IF(SUM(E67:K67)&lt;&gt;0,0,0)</f>
        <v>0</v>
      </c>
      <c r="O67"/>
    </row>
    <row r="68" spans="1:15" ht="18">
      <c r="A68" s="92">
        <f t="shared" si="2"/>
        <v>43</v>
      </c>
      <c r="C68" s="91" t="str">
        <f>"Weighted "&amp;C59&amp;" Plant (Ln "&amp;A65&amp;" + "&amp;A67&amp;")"</f>
        <v>Weighted INDIANA JURISDICTION Plant (Ln 40 + 42)</v>
      </c>
      <c r="D68" s="91"/>
      <c r="E68" s="992">
        <f>+E65+E67</f>
        <v>314855916.08142978</v>
      </c>
      <c r="F68" s="91"/>
      <c r="G68" s="992">
        <f>+G65+G67</f>
        <v>1381327764.1792951</v>
      </c>
      <c r="H68" s="91"/>
      <c r="I68" s="992">
        <f>+I65+I67</f>
        <v>2569456962.5690951</v>
      </c>
      <c r="J68" s="91"/>
      <c r="K68" s="992">
        <f>+K65+K67</f>
        <v>-0.49685555696487427</v>
      </c>
      <c r="L68" s="91"/>
      <c r="M68" s="992">
        <f>SUM(E68:K68)-SUM(E67:K67)</f>
        <v>4265640642.9338188</v>
      </c>
      <c r="O68"/>
    </row>
    <row r="69" spans="1:15" ht="18">
      <c r="A69" s="92">
        <f>+A68+1</f>
        <v>44</v>
      </c>
      <c r="C69" s="91" t="str">
        <f>"Functional Percentage (Ln "&amp;A68&amp;"/Total Ln "&amp;A68&amp;")"</f>
        <v>Functional Percentage (Ln 43/Total Ln 43)</v>
      </c>
      <c r="D69" s="91"/>
      <c r="E69" s="993">
        <f>+E68/M68</f>
        <v>7.3812105246840121E-2</v>
      </c>
      <c r="F69" s="91"/>
      <c r="G69" s="1001">
        <f>+G68/M68</f>
        <v>0.32382656670048199</v>
      </c>
      <c r="H69" s="91"/>
      <c r="I69" s="993">
        <f>+I68/M68</f>
        <v>0.60236132802829734</v>
      </c>
      <c r="J69" s="91"/>
      <c r="K69" s="203"/>
      <c r="L69" s="91"/>
      <c r="M69" s="992"/>
      <c r="O69"/>
    </row>
    <row r="70" spans="1:15" ht="18">
      <c r="A70" s="92" t="s">
        <v>115</v>
      </c>
      <c r="C70" s="166" t="s">
        <v>115</v>
      </c>
      <c r="D70" s="91"/>
      <c r="E70" s="1003"/>
      <c r="F70" s="1004"/>
      <c r="G70" s="1005"/>
      <c r="H70" s="1004"/>
      <c r="I70" s="1003"/>
      <c r="J70" s="1004"/>
      <c r="K70" s="1006"/>
      <c r="L70" s="91"/>
      <c r="M70" s="992"/>
      <c r="O70"/>
    </row>
    <row r="71" spans="1:15" ht="18" hidden="1">
      <c r="A71" s="92">
        <f>+A69+1</f>
        <v>45</v>
      </c>
      <c r="C71" s="91" t="s">
        <v>940</v>
      </c>
      <c r="D71" s="91"/>
      <c r="E71" s="1003">
        <f>+E47-E50-E61</f>
        <v>0</v>
      </c>
      <c r="F71" s="1004"/>
      <c r="G71" s="1007">
        <f>+M71*TCOS!J100</f>
        <v>448.88990589412282</v>
      </c>
      <c r="H71" s="1004"/>
      <c r="I71" s="1003">
        <f>+I47-I50-I61</f>
        <v>0</v>
      </c>
      <c r="J71" s="1004"/>
      <c r="K71" s="1003">
        <v>0</v>
      </c>
      <c r="L71" s="91"/>
      <c r="M71" s="992">
        <f>G22</f>
        <v>2103.38</v>
      </c>
      <c r="O71"/>
    </row>
    <row r="72" spans="1:15" ht="18">
      <c r="A72" s="92"/>
      <c r="C72" s="91"/>
      <c r="D72" s="91"/>
      <c r="E72" s="1007"/>
      <c r="F72" s="91"/>
      <c r="G72" s="1007"/>
      <c r="H72" s="91"/>
      <c r="I72" s="1007"/>
      <c r="J72" s="91"/>
      <c r="K72" s="203"/>
      <c r="L72" s="91"/>
      <c r="M72" s="992"/>
      <c r="O72"/>
    </row>
    <row r="73" spans="1:15" ht="18">
      <c r="A73" s="92"/>
      <c r="C73" s="91"/>
      <c r="D73" s="91"/>
      <c r="E73" s="808"/>
      <c r="F73" s="808"/>
      <c r="G73" s="808"/>
      <c r="H73" s="808"/>
      <c r="I73" s="808"/>
      <c r="J73" s="91"/>
      <c r="K73" s="1007"/>
      <c r="L73" s="91"/>
      <c r="M73" s="808"/>
      <c r="O73"/>
    </row>
    <row r="74" spans="1:15" ht="18">
      <c r="A74" s="92"/>
      <c r="C74" s="91"/>
      <c r="D74" s="91"/>
      <c r="E74" s="989"/>
      <c r="F74" s="1004"/>
      <c r="G74" s="1006"/>
      <c r="H74" s="1004"/>
      <c r="I74" s="1003"/>
      <c r="J74" s="1004"/>
      <c r="K74" s="1003"/>
      <c r="L74" s="91"/>
      <c r="M74" s="992"/>
      <c r="O74"/>
    </row>
    <row r="75" spans="1:15" ht="12.75">
      <c r="O75"/>
    </row>
    <row r="76" spans="1:15" ht="12.75">
      <c r="G76" s="180"/>
      <c r="O76"/>
    </row>
  </sheetData>
  <mergeCells count="7">
    <mergeCell ref="A8:M8"/>
    <mergeCell ref="A7:M7"/>
    <mergeCell ref="C45:M45"/>
    <mergeCell ref="A3:M3"/>
    <mergeCell ref="A4:M4"/>
    <mergeCell ref="A5:M5"/>
    <mergeCell ref="A6:M6"/>
  </mergeCells>
  <phoneticPr fontId="74" type="noConversion"/>
  <pageMargins left="0.59" right="0.84" top="1" bottom="1" header="0.75" footer="0.5"/>
  <pageSetup scale="44" orientation="portrait" r:id="rId1"/>
  <headerFooter alignWithMargins="0">
    <oddHeader>&amp;R&amp;"Arial,Bold"Formula Rate 
&amp;A
Page &amp;P of &amp;N</oddHeader>
  </headerFooter>
  <colBreaks count="1" manualBreakCount="1">
    <brk id="13" min="2" max="90"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T141"/>
  <sheetViews>
    <sheetView tabSelected="1" view="pageBreakPreview" topLeftCell="A42" zoomScale="70" zoomScaleNormal="70" zoomScaleSheetLayoutView="70" workbookViewId="0">
      <selection activeCell="D9" sqref="D9"/>
    </sheetView>
  </sheetViews>
  <sheetFormatPr defaultColWidth="9.140625" defaultRowHeight="12.75"/>
  <cols>
    <col min="1" max="1" width="7.42578125" style="101" customWidth="1"/>
    <col min="2" max="2" width="1.5703125" style="90" customWidth="1"/>
    <col min="3" max="3" width="68.5703125" style="90" customWidth="1"/>
    <col min="4" max="4" width="19.140625" style="90" customWidth="1"/>
    <col min="5" max="5" width="20.42578125" style="97" customWidth="1"/>
    <col min="6" max="6" width="20.42578125" style="90" bestFit="1" customWidth="1"/>
    <col min="7" max="7" width="40.42578125" style="90" bestFit="1" customWidth="1"/>
    <col min="8" max="8" width="13" style="90" bestFit="1" customWidth="1"/>
    <col min="9" max="9" width="34" style="90" customWidth="1"/>
    <col min="10" max="16384" width="9.140625" style="90"/>
  </cols>
  <sheetData>
    <row r="1" spans="1:20" ht="15.75">
      <c r="A1" s="669" t="s">
        <v>115</v>
      </c>
    </row>
    <row r="2" spans="1:20" ht="15.75">
      <c r="A2" s="669" t="s">
        <v>115</v>
      </c>
    </row>
    <row r="3" spans="1:20" ht="18.75" customHeight="1">
      <c r="A3" s="1230" t="s">
        <v>388</v>
      </c>
      <c r="B3" s="1230"/>
      <c r="C3" s="1230"/>
      <c r="D3" s="1230"/>
      <c r="E3" s="1230"/>
      <c r="F3" s="1230"/>
    </row>
    <row r="4" spans="1:20" ht="18.75" customHeight="1">
      <c r="A4" s="1231" t="str">
        <f>"Cost of Service Formula Rate Using Actual/Projected FF1 Balances"</f>
        <v>Cost of Service Formula Rate Using Actual/Projected FF1 Balances</v>
      </c>
      <c r="B4" s="1231"/>
      <c r="C4" s="1231"/>
      <c r="D4" s="1231"/>
      <c r="E4" s="1231"/>
      <c r="F4" s="1231"/>
    </row>
    <row r="5" spans="1:20" ht="18.75" customHeight="1">
      <c r="A5" s="1231" t="s">
        <v>218</v>
      </c>
      <c r="B5" s="1231"/>
      <c r="C5" s="1231"/>
      <c r="D5" s="1231"/>
      <c r="E5" s="1231"/>
      <c r="F5" s="1231"/>
    </row>
    <row r="6" spans="1:20" ht="18" customHeight="1">
      <c r="A6" s="1232" t="str">
        <f>TCOS!F9</f>
        <v xml:space="preserve">Indiana Michigan Power Company </v>
      </c>
      <c r="B6" s="1231"/>
      <c r="C6" s="1231"/>
      <c r="D6" s="1231"/>
      <c r="E6" s="1231"/>
      <c r="F6" s="1231"/>
    </row>
    <row r="7" spans="1:20" ht="18" customHeight="1">
      <c r="A7" s="1239"/>
      <c r="B7" s="1239"/>
      <c r="C7" s="1239"/>
      <c r="D7" s="1239"/>
      <c r="E7" s="1239"/>
      <c r="F7" s="1239"/>
    </row>
    <row r="8" spans="1:20" ht="19.5" customHeight="1">
      <c r="A8" s="92"/>
      <c r="B8" s="91"/>
      <c r="C8" s="27" t="s">
        <v>163</v>
      </c>
      <c r="E8" s="27" t="s">
        <v>164</v>
      </c>
      <c r="F8" s="27" t="s">
        <v>165</v>
      </c>
      <c r="G8" s="27" t="s">
        <v>166</v>
      </c>
    </row>
    <row r="9" spans="1:20" ht="18">
      <c r="A9" s="165"/>
      <c r="B9" s="166"/>
      <c r="C9" s="166"/>
      <c r="D9" s="166"/>
      <c r="E9"/>
      <c r="F9"/>
      <c r="G9" s="30"/>
      <c r="H9" s="30"/>
      <c r="I9" s="30"/>
      <c r="J9" s="30"/>
      <c r="K9" s="30"/>
      <c r="L9" s="30"/>
      <c r="M9" s="30"/>
      <c r="N9" s="30"/>
      <c r="O9" s="30"/>
      <c r="P9" s="30"/>
      <c r="Q9" s="30"/>
      <c r="R9" s="30"/>
      <c r="S9" s="30"/>
      <c r="T9" s="30"/>
    </row>
    <row r="10" spans="1:20" ht="18">
      <c r="A10" s="165" t="s">
        <v>170</v>
      </c>
      <c r="B10" s="166"/>
      <c r="C10" s="166"/>
      <c r="D10" s="166"/>
      <c r="E10" s="167" t="s">
        <v>119</v>
      </c>
      <c r="F10" s="165" t="s">
        <v>77</v>
      </c>
    </row>
    <row r="11" spans="1:20" ht="18">
      <c r="A11" s="169" t="s">
        <v>118</v>
      </c>
      <c r="B11" s="210"/>
      <c r="C11" s="169" t="s">
        <v>30</v>
      </c>
      <c r="D11" s="817"/>
      <c r="E11" s="170" t="s">
        <v>184</v>
      </c>
      <c r="F11" s="169" t="s">
        <v>78</v>
      </c>
      <c r="G11" s="170" t="s">
        <v>79</v>
      </c>
      <c r="H11" s="817"/>
      <c r="I11" s="817"/>
    </row>
    <row r="12" spans="1:20" ht="18">
      <c r="A12" s="92"/>
      <c r="B12" s="91"/>
      <c r="C12" s="89"/>
      <c r="D12" s="89"/>
      <c r="E12" s="89"/>
      <c r="F12" s="165"/>
      <c r="G12" s="167"/>
      <c r="I12" s="818"/>
    </row>
    <row r="13" spans="1:20" ht="18">
      <c r="A13" s="92"/>
      <c r="B13" s="91"/>
      <c r="C13" s="91"/>
      <c r="D13" s="91"/>
      <c r="E13" s="93"/>
      <c r="F13" s="89"/>
    </row>
    <row r="14" spans="1:20" ht="19.5">
      <c r="A14" s="92">
        <v>1</v>
      </c>
      <c r="B14" s="91"/>
      <c r="C14" s="94" t="s">
        <v>324</v>
      </c>
      <c r="D14" s="91"/>
      <c r="E14" s="88"/>
      <c r="F14" s="91"/>
    </row>
    <row r="15" spans="1:20" ht="19.5">
      <c r="A15" s="92">
        <f>+A14+1</f>
        <v>2</v>
      </c>
      <c r="B15" s="91"/>
      <c r="C15" s="88" t="s">
        <v>308</v>
      </c>
      <c r="D15"/>
      <c r="E15" s="95">
        <f>SUM(F16:F21)</f>
        <v>-7484</v>
      </c>
      <c r="F15" s="88"/>
    </row>
    <row r="16" spans="1:20" ht="19.5">
      <c r="A16" s="92"/>
      <c r="B16" s="91"/>
      <c r="C16" s="96"/>
      <c r="D16" s="981"/>
      <c r="E16" s="88"/>
      <c r="F16" s="641">
        <v>-7484</v>
      </c>
      <c r="G16" s="642" t="s">
        <v>1467</v>
      </c>
    </row>
    <row r="17" spans="1:13" ht="19.5">
      <c r="A17" s="92"/>
      <c r="B17" s="91"/>
      <c r="C17" s="96"/>
      <c r="D17" s="981"/>
      <c r="E17" s="88"/>
      <c r="F17" s="641"/>
      <c r="G17" s="642"/>
    </row>
    <row r="18" spans="1:13" ht="19.5">
      <c r="A18" s="92"/>
      <c r="B18" s="91"/>
      <c r="C18" s="96"/>
      <c r="D18" s="981"/>
      <c r="E18" s="88"/>
      <c r="F18" s="641"/>
      <c r="G18" s="642"/>
    </row>
    <row r="19" spans="1:13" ht="18" customHeight="1">
      <c r="A19" s="92"/>
      <c r="B19" s="91"/>
      <c r="C19" s="96"/>
      <c r="D19" s="981"/>
      <c r="E19" s="88"/>
      <c r="F19" s="641"/>
      <c r="G19" s="642"/>
    </row>
    <row r="20" spans="1:13" ht="18" customHeight="1">
      <c r="A20" s="92"/>
      <c r="B20" s="91"/>
      <c r="C20" s="96"/>
      <c r="D20"/>
      <c r="E20" s="88"/>
      <c r="F20" s="641"/>
      <c r="G20" s="642"/>
    </row>
    <row r="21" spans="1:13" ht="18" customHeight="1">
      <c r="A21" s="92"/>
      <c r="B21" s="91"/>
      <c r="C21" s="96"/>
      <c r="D21"/>
      <c r="E21" s="88"/>
      <c r="F21" s="641"/>
      <c r="G21" s="642"/>
    </row>
    <row r="22" spans="1:13" ht="18" customHeight="1">
      <c r="A22" s="92"/>
      <c r="B22" s="91"/>
      <c r="C22" s="96"/>
      <c r="D22"/>
      <c r="E22" s="88"/>
      <c r="F22" s="671"/>
      <c r="G22" s="672"/>
    </row>
    <row r="23" spans="1:13" ht="18" customHeight="1">
      <c r="A23" s="92"/>
      <c r="B23" s="91"/>
      <c r="C23" s="27" t="s">
        <v>163</v>
      </c>
      <c r="D23" s="27" t="s">
        <v>164</v>
      </c>
      <c r="E23" s="27" t="s">
        <v>165</v>
      </c>
      <c r="F23" s="27" t="s">
        <v>166</v>
      </c>
      <c r="G23" s="27" t="s">
        <v>85</v>
      </c>
      <c r="H23" s="841" t="s">
        <v>86</v>
      </c>
      <c r="I23" s="27" t="s">
        <v>87</v>
      </c>
    </row>
    <row r="24" spans="1:13" ht="58.5" customHeight="1">
      <c r="A24" s="169"/>
      <c r="B24" s="210"/>
      <c r="C24" s="842" t="s">
        <v>748</v>
      </c>
      <c r="D24" s="843" t="s">
        <v>666</v>
      </c>
      <c r="E24" s="844" t="s">
        <v>746</v>
      </c>
      <c r="F24" s="845" t="s">
        <v>747</v>
      </c>
      <c r="G24" s="846" t="s">
        <v>79</v>
      </c>
      <c r="H24" s="844" t="s">
        <v>811</v>
      </c>
      <c r="I24" s="845" t="s">
        <v>745</v>
      </c>
    </row>
    <row r="25" spans="1:13" ht="19.5">
      <c r="A25" s="92"/>
      <c r="B25" s="91"/>
      <c r="C25" s="96"/>
      <c r="D25" s="4"/>
      <c r="E25" s="88"/>
      <c r="F25" s="95"/>
      <c r="G25" s="211"/>
    </row>
    <row r="26" spans="1:13" ht="39">
      <c r="A26" s="809">
        <f>+A15+1</f>
        <v>3</v>
      </c>
      <c r="B26" s="810"/>
      <c r="C26" s="840" t="s">
        <v>744</v>
      </c>
      <c r="D26" s="847"/>
      <c r="E26" s="848">
        <f>E28+E38+E49+E56</f>
        <v>74864982.310000002</v>
      </c>
      <c r="F26" s="849"/>
      <c r="G26" s="1137"/>
      <c r="H26" s="850"/>
      <c r="I26" s="848">
        <f>I28+I38+I49+I56</f>
        <v>12071487.717097254</v>
      </c>
    </row>
    <row r="27" spans="1:13" ht="19.5">
      <c r="A27" s="92"/>
      <c r="B27" s="91"/>
      <c r="C27" s="94"/>
      <c r="D27"/>
      <c r="E27" s="88"/>
      <c r="F27" s="212"/>
      <c r="G27" s="211"/>
      <c r="H27" s="811"/>
      <c r="I27" s="812"/>
    </row>
    <row r="28" spans="1:13" ht="19.5">
      <c r="A28" s="92">
        <f>+A26+1</f>
        <v>4</v>
      </c>
      <c r="B28" s="91"/>
      <c r="C28" s="813" t="s">
        <v>925</v>
      </c>
      <c r="D28"/>
      <c r="E28" s="95">
        <f>SUM(F29:F37)</f>
        <v>55619538.18</v>
      </c>
      <c r="F28" s="212"/>
      <c r="G28" s="211"/>
      <c r="H28" s="91"/>
      <c r="I28" s="808">
        <f>SUM(I29:I37)</f>
        <v>5852152.8202147996</v>
      </c>
    </row>
    <row r="29" spans="1:13" ht="19.5">
      <c r="A29" s="92"/>
      <c r="B29" s="91"/>
      <c r="C29" s="813"/>
      <c r="D29" s="981">
        <v>2020</v>
      </c>
      <c r="E29" s="95"/>
      <c r="F29" s="641">
        <v>96000</v>
      </c>
      <c r="G29" s="642" t="s">
        <v>631</v>
      </c>
      <c r="H29" s="806">
        <v>8.2295723842401566E-2</v>
      </c>
      <c r="I29" s="854">
        <f>+F29*H29</f>
        <v>7900.3894888705499</v>
      </c>
      <c r="M29" s="1077"/>
    </row>
    <row r="30" spans="1:13" ht="19.5">
      <c r="A30" s="92"/>
      <c r="B30" s="91"/>
      <c r="C30" s="813"/>
      <c r="D30" s="981">
        <v>2023</v>
      </c>
      <c r="E30" s="95"/>
      <c r="F30" s="641">
        <v>4643184.1800000006</v>
      </c>
      <c r="G30" s="642" t="s">
        <v>631</v>
      </c>
      <c r="H30" s="806">
        <v>9.9813563360198698E-2</v>
      </c>
      <c r="I30" s="854">
        <f>+F30*H30</f>
        <v>463452.7583435023</v>
      </c>
      <c r="M30" s="1077"/>
    </row>
    <row r="31" spans="1:13" ht="19.5">
      <c r="A31" s="92"/>
      <c r="B31" s="91"/>
      <c r="C31" s="813"/>
      <c r="D31" s="981">
        <v>2024</v>
      </c>
      <c r="E31" s="95"/>
      <c r="F31" s="641">
        <v>50880354</v>
      </c>
      <c r="G31" s="642" t="s">
        <v>631</v>
      </c>
      <c r="H31" s="806">
        <v>0.10575397475383969</v>
      </c>
      <c r="I31" s="854">
        <f>+F31*H31</f>
        <v>5380799.6723824264</v>
      </c>
      <c r="M31" s="1077"/>
    </row>
    <row r="32" spans="1:13" ht="19.5">
      <c r="A32" s="92"/>
      <c r="B32" s="91"/>
      <c r="C32" s="813"/>
      <c r="D32" s="981">
        <v>2025</v>
      </c>
      <c r="E32" s="95"/>
      <c r="F32" s="641">
        <v>0</v>
      </c>
      <c r="G32" s="642" t="s">
        <v>631</v>
      </c>
      <c r="H32" s="806">
        <f>'WS H Other Taxes'!G58</f>
        <v>0.11504667357526384</v>
      </c>
      <c r="I32" s="854">
        <f t="shared" ref="I32:I37" si="0">+F32*H32</f>
        <v>0</v>
      </c>
      <c r="M32" s="1077"/>
    </row>
    <row r="33" spans="1:13" ht="19.5">
      <c r="A33" s="92"/>
      <c r="B33" s="91"/>
      <c r="C33" s="813"/>
      <c r="D33" s="981"/>
      <c r="E33" s="95"/>
      <c r="F33" s="641"/>
      <c r="G33" s="642"/>
      <c r="H33" s="806"/>
      <c r="I33" s="854">
        <f t="shared" si="0"/>
        <v>0</v>
      </c>
      <c r="M33" s="1077"/>
    </row>
    <row r="34" spans="1:13" ht="19.5">
      <c r="A34" s="92"/>
      <c r="B34" s="91"/>
      <c r="C34" s="813"/>
      <c r="D34" s="981"/>
      <c r="E34" s="95"/>
      <c r="F34" s="641"/>
      <c r="G34" s="642"/>
      <c r="H34" s="806"/>
      <c r="I34" s="854">
        <f t="shared" si="0"/>
        <v>0</v>
      </c>
      <c r="M34" s="1077"/>
    </row>
    <row r="35" spans="1:13" ht="19.5">
      <c r="A35" s="92"/>
      <c r="B35" s="91"/>
      <c r="C35" s="813"/>
      <c r="D35" s="981"/>
      <c r="E35" s="95"/>
      <c r="F35" s="641"/>
      <c r="G35" s="642"/>
      <c r="H35" s="806"/>
      <c r="I35" s="854">
        <f t="shared" si="0"/>
        <v>0</v>
      </c>
      <c r="M35" s="1077"/>
    </row>
    <row r="36" spans="1:13" ht="19.5">
      <c r="A36" s="92"/>
      <c r="B36" s="91"/>
      <c r="C36" s="813"/>
      <c r="D36" s="981"/>
      <c r="E36" s="95"/>
      <c r="F36" s="641"/>
      <c r="G36" s="642"/>
      <c r="H36" s="806"/>
      <c r="I36" s="854">
        <f t="shared" si="0"/>
        <v>0</v>
      </c>
      <c r="M36" s="1077"/>
    </row>
    <row r="37" spans="1:13" ht="19.5">
      <c r="A37" s="92"/>
      <c r="B37" s="91"/>
      <c r="C37" s="813"/>
      <c r="D37" s="981"/>
      <c r="E37" s="95"/>
      <c r="F37" s="641"/>
      <c r="G37" s="642"/>
      <c r="H37" s="806"/>
      <c r="I37" s="854">
        <f t="shared" si="0"/>
        <v>0</v>
      </c>
      <c r="M37" s="1077"/>
    </row>
    <row r="38" spans="1:13" ht="19.5">
      <c r="A38" s="92">
        <f>+A28+1</f>
        <v>5</v>
      </c>
      <c r="B38" s="91"/>
      <c r="C38" s="813" t="s">
        <v>926</v>
      </c>
      <c r="D38"/>
      <c r="E38" s="95">
        <f>SUM(F39:F45)</f>
        <v>19243340.75</v>
      </c>
      <c r="F38" s="95"/>
      <c r="G38" s="211"/>
      <c r="I38" s="854">
        <f>SUM(I39:I47)</f>
        <v>6218970.7639316916</v>
      </c>
    </row>
    <row r="39" spans="1:13" ht="19.5">
      <c r="A39" s="92"/>
      <c r="B39" s="91"/>
      <c r="C39" s="813"/>
      <c r="D39" s="981">
        <v>2023</v>
      </c>
      <c r="E39" s="95"/>
      <c r="F39" s="641">
        <v>-15437.93</v>
      </c>
      <c r="G39" s="642" t="s">
        <v>631</v>
      </c>
      <c r="H39" s="807">
        <v>0.34275853266071499</v>
      </c>
      <c r="I39" s="854">
        <f>F39*H39</f>
        <v>-5291.4822341188319</v>
      </c>
    </row>
    <row r="40" spans="1:13" ht="19.5">
      <c r="A40" s="92"/>
      <c r="B40" s="91"/>
      <c r="C40" s="813"/>
      <c r="D40" s="981">
        <v>2024</v>
      </c>
      <c r="E40" s="95"/>
      <c r="F40" s="641">
        <v>-1185972.32</v>
      </c>
      <c r="G40" s="642" t="s">
        <v>631</v>
      </c>
      <c r="H40" s="807">
        <v>0.33414884186372523</v>
      </c>
      <c r="I40" s="854">
        <f t="shared" ref="I40:I47" si="1">F40*H40</f>
        <v>-396291.27721043536</v>
      </c>
    </row>
    <row r="41" spans="1:13" ht="19.5">
      <c r="A41" s="92"/>
      <c r="B41" s="91"/>
      <c r="C41" s="813"/>
      <c r="D41" s="981">
        <v>2025</v>
      </c>
      <c r="E41" s="95"/>
      <c r="F41" s="641">
        <v>20444751</v>
      </c>
      <c r="G41" s="642" t="s">
        <v>631</v>
      </c>
      <c r="H41" s="807">
        <f>'WS H Other Taxes'!G69</f>
        <v>0.32382656670048199</v>
      </c>
      <c r="I41" s="854">
        <f t="shared" si="1"/>
        <v>6620553.523376246</v>
      </c>
    </row>
    <row r="42" spans="1:13" ht="19.5">
      <c r="A42" s="92"/>
      <c r="B42" s="91"/>
      <c r="C42" s="813"/>
      <c r="D42" s="981"/>
      <c r="E42" s="95"/>
      <c r="F42" s="641"/>
      <c r="G42" s="642"/>
      <c r="H42" s="807"/>
      <c r="I42" s="854">
        <f t="shared" si="1"/>
        <v>0</v>
      </c>
    </row>
    <row r="43" spans="1:13" ht="19.5">
      <c r="A43" s="92"/>
      <c r="B43" s="91"/>
      <c r="C43" s="813"/>
      <c r="D43" s="981"/>
      <c r="E43" s="95"/>
      <c r="F43" s="641"/>
      <c r="G43" s="642"/>
      <c r="H43" s="807"/>
      <c r="I43" s="854">
        <f t="shared" si="1"/>
        <v>0</v>
      </c>
    </row>
    <row r="44" spans="1:13" ht="19.5">
      <c r="A44" s="92"/>
      <c r="B44" s="91"/>
      <c r="C44" s="813"/>
      <c r="D44" s="641"/>
      <c r="E44" s="95"/>
      <c r="F44" s="641"/>
      <c r="G44" s="642"/>
      <c r="H44" s="642"/>
      <c r="I44" s="854">
        <f t="shared" si="1"/>
        <v>0</v>
      </c>
    </row>
    <row r="45" spans="1:13" ht="19.5">
      <c r="A45" s="92"/>
      <c r="B45" s="91"/>
      <c r="C45" s="813"/>
      <c r="D45" s="641"/>
      <c r="E45" s="95"/>
      <c r="F45" s="641"/>
      <c r="G45" s="642"/>
      <c r="H45" s="642"/>
      <c r="I45" s="854">
        <f t="shared" si="1"/>
        <v>0</v>
      </c>
    </row>
    <row r="46" spans="1:13" ht="19.5">
      <c r="A46" s="92"/>
      <c r="B46" s="91"/>
      <c r="C46" s="813"/>
      <c r="D46" s="641"/>
      <c r="E46" s="95"/>
      <c r="F46" s="641"/>
      <c r="G46" s="642"/>
      <c r="H46" s="642"/>
      <c r="I46" s="854">
        <f t="shared" si="1"/>
        <v>0</v>
      </c>
    </row>
    <row r="47" spans="1:13" ht="19.5">
      <c r="A47" s="92"/>
      <c r="B47" s="91"/>
      <c r="C47" s="813"/>
      <c r="D47" s="641"/>
      <c r="E47" s="95"/>
      <c r="F47" s="641"/>
      <c r="G47" s="642"/>
      <c r="H47" s="642"/>
      <c r="I47" s="854">
        <f t="shared" si="1"/>
        <v>0</v>
      </c>
    </row>
    <row r="48" spans="1:13" ht="19.5">
      <c r="A48" s="92"/>
      <c r="B48" s="91"/>
      <c r="C48" s="813"/>
      <c r="D48" s="91"/>
      <c r="E48" s="95"/>
      <c r="F48" s="4"/>
      <c r="G48" s="243"/>
    </row>
    <row r="49" spans="1:9" ht="19.5">
      <c r="A49" s="92">
        <f>+A38+1</f>
        <v>6</v>
      </c>
      <c r="B49" s="91"/>
      <c r="C49" s="813" t="s">
        <v>927</v>
      </c>
      <c r="D49" s="184"/>
      <c r="E49" s="95">
        <f>SUM(F50:F55)</f>
        <v>2103.38</v>
      </c>
      <c r="F49" s="88"/>
      <c r="G49" s="243" t="s">
        <v>115</v>
      </c>
      <c r="I49" s="854">
        <f>SUM(I50:I55)</f>
        <v>364.13295076281707</v>
      </c>
    </row>
    <row r="50" spans="1:9" ht="19.5">
      <c r="A50" s="92"/>
      <c r="B50" s="91"/>
      <c r="C50" s="813"/>
      <c r="D50" s="981">
        <v>2024</v>
      </c>
      <c r="E50" s="95"/>
      <c r="F50" s="641">
        <v>2103.38</v>
      </c>
      <c r="G50" s="642" t="s">
        <v>631</v>
      </c>
      <c r="H50" s="807">
        <v>0.17311800566840849</v>
      </c>
      <c r="I50" s="854">
        <f>F50*H50</f>
        <v>364.13295076281707</v>
      </c>
    </row>
    <row r="51" spans="1:9" ht="19.5">
      <c r="A51" s="92"/>
      <c r="B51" s="91"/>
      <c r="C51" s="813"/>
      <c r="D51" s="981"/>
      <c r="E51" s="95"/>
      <c r="F51" s="641"/>
      <c r="G51" s="642"/>
      <c r="H51" s="807"/>
      <c r="I51" s="854">
        <f>F51*H51</f>
        <v>0</v>
      </c>
    </row>
    <row r="52" spans="1:9" ht="19.5">
      <c r="A52" s="92"/>
      <c r="B52" s="91"/>
      <c r="C52" s="813"/>
      <c r="D52" s="981"/>
      <c r="E52" s="95"/>
      <c r="F52" s="641"/>
      <c r="G52" s="642"/>
      <c r="H52" s="807"/>
      <c r="I52" s="854">
        <f t="shared" ref="I52:I54" si="2">F52*H52</f>
        <v>0</v>
      </c>
    </row>
    <row r="53" spans="1:9" ht="19.5">
      <c r="A53" s="92"/>
      <c r="B53" s="91"/>
      <c r="C53" s="813"/>
      <c r="D53" s="981"/>
      <c r="E53" s="95"/>
      <c r="F53" s="641"/>
      <c r="G53" s="642"/>
      <c r="H53" s="807"/>
      <c r="I53" s="854">
        <f t="shared" si="2"/>
        <v>0</v>
      </c>
    </row>
    <row r="54" spans="1:9" ht="19.5">
      <c r="A54" s="92"/>
      <c r="B54" s="91"/>
      <c r="C54" s="813"/>
      <c r="D54" s="981"/>
      <c r="E54" s="95"/>
      <c r="F54" s="641"/>
      <c r="G54" s="642"/>
      <c r="H54" s="807"/>
      <c r="I54" s="854">
        <f t="shared" si="2"/>
        <v>0</v>
      </c>
    </row>
    <row r="55" spans="1:9" ht="19.5">
      <c r="A55" s="92"/>
      <c r="B55" s="91"/>
      <c r="C55" s="813"/>
      <c r="D55" s="981"/>
      <c r="E55" s="95"/>
      <c r="F55" s="641"/>
      <c r="G55" s="642"/>
      <c r="H55" s="807"/>
      <c r="I55" s="854">
        <f>F55*H55</f>
        <v>0</v>
      </c>
    </row>
    <row r="56" spans="1:9" ht="19.5">
      <c r="A56" s="92"/>
      <c r="B56" s="91"/>
      <c r="C56" s="813"/>
      <c r="D56" s="184"/>
      <c r="E56" s="95">
        <f>SUM(F57:F59)</f>
        <v>0</v>
      </c>
      <c r="F56" s="242"/>
      <c r="G56" s="243"/>
      <c r="I56" s="180">
        <f>SUM(I57:I59)</f>
        <v>0</v>
      </c>
    </row>
    <row r="57" spans="1:9" ht="19.5">
      <c r="A57" s="92">
        <f>A49+1</f>
        <v>7</v>
      </c>
      <c r="B57" s="91"/>
      <c r="C57" s="813" t="s">
        <v>464</v>
      </c>
      <c r="D57" s="641"/>
      <c r="E57" s="95"/>
      <c r="F57" s="641"/>
      <c r="G57" s="642"/>
      <c r="H57" s="642"/>
      <c r="I57" s="854">
        <f>F57*H57</f>
        <v>0</v>
      </c>
    </row>
    <row r="58" spans="1:9" ht="19.5">
      <c r="A58" s="92"/>
      <c r="B58" s="91"/>
      <c r="C58" s="91"/>
      <c r="D58" s="641"/>
      <c r="E58" s="95"/>
      <c r="F58" s="641"/>
      <c r="G58" s="642"/>
      <c r="H58" s="642"/>
      <c r="I58" s="854">
        <f>F58*H58</f>
        <v>0</v>
      </c>
    </row>
    <row r="59" spans="1:9" ht="19.5">
      <c r="A59" s="92"/>
      <c r="B59" s="91"/>
      <c r="C59" s="91"/>
      <c r="D59" s="641"/>
      <c r="E59" s="95"/>
      <c r="F59" s="641"/>
      <c r="G59" s="642"/>
      <c r="H59" s="642"/>
      <c r="I59" s="854">
        <f>F59*H59</f>
        <v>0</v>
      </c>
    </row>
    <row r="60" spans="1:9" ht="19.5">
      <c r="A60" s="819"/>
      <c r="B60" s="820"/>
      <c r="C60" s="820"/>
      <c r="D60" s="821"/>
      <c r="E60" s="822"/>
      <c r="F60" s="821"/>
      <c r="G60" s="823"/>
      <c r="H60" s="823"/>
      <c r="I60" s="824"/>
    </row>
    <row r="61" spans="1:9" ht="19.5">
      <c r="A61" s="92"/>
      <c r="B61" s="91"/>
      <c r="C61" s="91"/>
      <c r="D61" s="184"/>
      <c r="E61" s="95"/>
      <c r="F61" s="242"/>
      <c r="G61" s="243"/>
    </row>
    <row r="62" spans="1:9" ht="18">
      <c r="A62" s="92"/>
      <c r="B62" s="91"/>
      <c r="C62" s="27" t="s">
        <v>163</v>
      </c>
      <c r="E62" s="27" t="s">
        <v>164</v>
      </c>
      <c r="F62" s="27" t="s">
        <v>165</v>
      </c>
      <c r="G62" s="27" t="s">
        <v>166</v>
      </c>
    </row>
    <row r="63" spans="1:9" ht="18">
      <c r="A63" s="165"/>
      <c r="B63" s="166"/>
      <c r="C63" s="166"/>
      <c r="D63" s="166"/>
      <c r="E63"/>
      <c r="F63"/>
      <c r="G63" s="30"/>
    </row>
    <row r="64" spans="1:9" ht="18">
      <c r="A64" s="165" t="s">
        <v>170</v>
      </c>
      <c r="B64" s="166"/>
      <c r="C64" s="166"/>
      <c r="D64" s="166"/>
      <c r="E64" s="167" t="s">
        <v>119</v>
      </c>
      <c r="F64" s="165" t="s">
        <v>77</v>
      </c>
    </row>
    <row r="65" spans="1:9" ht="18">
      <c r="A65" s="169" t="s">
        <v>118</v>
      </c>
      <c r="B65" s="210"/>
      <c r="C65" s="169" t="s">
        <v>30</v>
      </c>
      <c r="D65" s="817"/>
      <c r="E65" s="170" t="s">
        <v>184</v>
      </c>
      <c r="F65" s="169" t="s">
        <v>78</v>
      </c>
      <c r="G65" s="170" t="s">
        <v>79</v>
      </c>
    </row>
    <row r="66" spans="1:9" ht="19.5">
      <c r="A66" s="92">
        <f>+A57+1</f>
        <v>8</v>
      </c>
      <c r="B66" s="91"/>
      <c r="C66" s="94" t="s">
        <v>326</v>
      </c>
      <c r="D66" s="91"/>
      <c r="E66" s="88"/>
      <c r="F66" s="91" t="s">
        <v>115</v>
      </c>
      <c r="G66" s="211"/>
    </row>
    <row r="67" spans="1:9" ht="19.5">
      <c r="A67" s="92">
        <f>+A66+1</f>
        <v>9</v>
      </c>
      <c r="B67" s="91"/>
      <c r="C67" s="91" t="s">
        <v>322</v>
      </c>
      <c r="D67" s="91"/>
      <c r="E67" s="95">
        <f>SUM(F68)</f>
        <v>13968002</v>
      </c>
      <c r="F67" s="213"/>
      <c r="G67" s="211"/>
    </row>
    <row r="68" spans="1:9" ht="19.5">
      <c r="A68" s="92"/>
      <c r="B68" s="91"/>
      <c r="C68" s="91"/>
      <c r="D68" s="91"/>
      <c r="E68" s="95"/>
      <c r="F68" s="641">
        <v>13968002</v>
      </c>
      <c r="G68" s="642" t="s">
        <v>1366</v>
      </c>
    </row>
    <row r="69" spans="1:9" ht="19.5">
      <c r="A69" s="92">
        <f>+A67+1</f>
        <v>10</v>
      </c>
      <c r="B69" s="91"/>
      <c r="C69" s="91" t="s">
        <v>315</v>
      </c>
      <c r="D69" s="91"/>
      <c r="E69" s="95">
        <f>SUM(F70)</f>
        <v>64286</v>
      </c>
      <c r="F69" s="88"/>
      <c r="G69" s="248"/>
    </row>
    <row r="70" spans="1:9" ht="19.5">
      <c r="A70" s="92"/>
      <c r="B70" s="91"/>
      <c r="C70" s="91"/>
      <c r="D70" s="91"/>
      <c r="E70" s="95"/>
      <c r="F70" s="641">
        <v>64286</v>
      </c>
      <c r="G70" s="642" t="s">
        <v>1365</v>
      </c>
    </row>
    <row r="71" spans="1:9" ht="19.5">
      <c r="A71" s="92">
        <f>+A69+1</f>
        <v>11</v>
      </c>
      <c r="B71" s="91"/>
      <c r="C71" s="91" t="s">
        <v>316</v>
      </c>
      <c r="D71" s="91"/>
      <c r="E71" s="95">
        <f>SUM(F72:F76)</f>
        <v>98896</v>
      </c>
      <c r="F71" s="88"/>
      <c r="G71" s="211"/>
      <c r="I71" s="180"/>
    </row>
    <row r="72" spans="1:9" ht="19.5">
      <c r="A72" s="92"/>
      <c r="B72" s="91"/>
      <c r="C72" s="91"/>
      <c r="D72" s="91"/>
      <c r="E72" s="95"/>
      <c r="F72" s="641">
        <v>-29890</v>
      </c>
      <c r="G72" s="642" t="s">
        <v>1468</v>
      </c>
    </row>
    <row r="73" spans="1:9" ht="19.5">
      <c r="A73" s="92"/>
      <c r="B73" s="91"/>
      <c r="C73" s="91"/>
      <c r="D73" s="91"/>
      <c r="E73" s="95"/>
      <c r="F73" s="641">
        <v>132102</v>
      </c>
      <c r="G73" s="642" t="s">
        <v>1362</v>
      </c>
    </row>
    <row r="74" spans="1:9" ht="19.5">
      <c r="A74" s="92"/>
      <c r="B74" s="91"/>
      <c r="C74" s="91"/>
      <c r="D74" s="91"/>
      <c r="E74" s="95"/>
      <c r="F74" s="641">
        <v>2086</v>
      </c>
      <c r="G74" s="642" t="s">
        <v>1363</v>
      </c>
    </row>
    <row r="75" spans="1:9" ht="19.5">
      <c r="A75" s="90"/>
      <c r="D75" s="91"/>
      <c r="E75" s="88"/>
      <c r="F75" s="641">
        <v>-5391</v>
      </c>
      <c r="G75" s="642" t="s">
        <v>1364</v>
      </c>
    </row>
    <row r="76" spans="1:9" ht="19.5">
      <c r="A76" s="90"/>
      <c r="D76" s="91"/>
      <c r="E76" s="88"/>
      <c r="F76" s="641">
        <v>-11</v>
      </c>
      <c r="G76" s="642" t="s">
        <v>631</v>
      </c>
    </row>
    <row r="77" spans="1:9" ht="19.5">
      <c r="A77" s="92">
        <f>A71+1</f>
        <v>12</v>
      </c>
      <c r="B77" s="91"/>
      <c r="C77" s="94" t="s">
        <v>441</v>
      </c>
      <c r="D77" s="91"/>
      <c r="E77" s="95">
        <f>SUM(F78:F78)</f>
        <v>0</v>
      </c>
      <c r="F77" s="242"/>
      <c r="G77" s="243"/>
    </row>
    <row r="78" spans="1:9" ht="19.5">
      <c r="A78" s="92">
        <f>+A77+1</f>
        <v>13</v>
      </c>
      <c r="B78" s="91"/>
      <c r="C78" s="88" t="s">
        <v>442</v>
      </c>
      <c r="D78" s="184"/>
      <c r="E78" s="95"/>
      <c r="F78" s="641"/>
      <c r="G78" s="642"/>
    </row>
    <row r="79" spans="1:9" ht="19.5">
      <c r="A79" s="92"/>
      <c r="B79" s="91"/>
      <c r="C79" s="88"/>
      <c r="D79" s="91"/>
      <c r="E79" s="217"/>
      <c r="F79" s="242"/>
      <c r="G79" s="88"/>
    </row>
    <row r="80" spans="1:9" ht="19.5">
      <c r="A80" s="98">
        <f>+A78+1</f>
        <v>14</v>
      </c>
      <c r="B80" s="91"/>
      <c r="C80" s="94" t="s">
        <v>323</v>
      </c>
      <c r="D80" s="100"/>
      <c r="E80" s="88"/>
      <c r="F80" s="88"/>
      <c r="G80" s="88"/>
    </row>
    <row r="81" spans="1:7" ht="19.5">
      <c r="A81" s="98">
        <f>A80+1</f>
        <v>15</v>
      </c>
      <c r="B81" s="99"/>
      <c r="C81" s="88" t="s">
        <v>440</v>
      </c>
      <c r="D81" s="100"/>
      <c r="E81" s="95">
        <f>SUM(F82:F83)</f>
        <v>0</v>
      </c>
      <c r="F81" s="88"/>
      <c r="G81" s="88"/>
    </row>
    <row r="82" spans="1:7" ht="19.5">
      <c r="A82" s="98"/>
      <c r="B82" s="99"/>
      <c r="C82" s="88"/>
      <c r="E82" s="217"/>
      <c r="F82" s="641"/>
      <c r="G82" s="642"/>
    </row>
    <row r="83" spans="1:7" ht="19.5">
      <c r="A83" s="98"/>
      <c r="B83" s="99"/>
      <c r="C83" s="88"/>
      <c r="E83" s="217"/>
      <c r="F83" s="641"/>
      <c r="G83" s="642"/>
    </row>
    <row r="84" spans="1:7" ht="19.5">
      <c r="A84" s="98"/>
      <c r="B84" s="99"/>
      <c r="C84" s="88"/>
      <c r="E84" s="217"/>
      <c r="F84" s="641"/>
      <c r="G84" s="642"/>
    </row>
    <row r="85" spans="1:7" ht="19.5">
      <c r="A85" s="92">
        <f>A81+1</f>
        <v>16</v>
      </c>
      <c r="B85" s="99"/>
      <c r="C85" s="88" t="s">
        <v>317</v>
      </c>
      <c r="D85" s="91"/>
      <c r="E85" s="95">
        <f>SUM(F86:F89)</f>
        <v>0</v>
      </c>
      <c r="F85" s="88"/>
      <c r="G85" s="88"/>
    </row>
    <row r="86" spans="1:7" ht="19.5">
      <c r="A86" s="92"/>
      <c r="B86" s="99"/>
      <c r="C86" s="88"/>
      <c r="D86" s="91"/>
      <c r="E86" s="95"/>
      <c r="F86" s="641"/>
      <c r="G86" s="642"/>
    </row>
    <row r="87" spans="1:7" ht="19.5">
      <c r="A87" s="92"/>
      <c r="B87" s="99"/>
      <c r="C87" s="88"/>
      <c r="D87" s="91"/>
      <c r="E87" s="95"/>
      <c r="F87" s="641"/>
      <c r="G87" s="642"/>
    </row>
    <row r="88" spans="1:7" ht="19.5">
      <c r="A88" s="92"/>
      <c r="B88" s="99"/>
      <c r="C88" s="88"/>
      <c r="D88" s="91"/>
      <c r="E88" s="95"/>
      <c r="F88" s="641"/>
      <c r="G88" s="642"/>
    </row>
    <row r="89" spans="1:7" ht="19.5">
      <c r="A89" s="92"/>
      <c r="B89" s="99"/>
      <c r="C89" s="88"/>
      <c r="D89" s="91"/>
      <c r="E89" s="95"/>
      <c r="F89" s="641"/>
      <c r="G89" s="642"/>
    </row>
    <row r="90" spans="1:7" ht="19.5">
      <c r="A90" s="92">
        <f>+A85+1</f>
        <v>17</v>
      </c>
      <c r="B90" s="91"/>
      <c r="C90" s="88" t="s">
        <v>318</v>
      </c>
      <c r="D90"/>
      <c r="E90" s="95">
        <f>SUM(F91:F98)</f>
        <v>0</v>
      </c>
    </row>
    <row r="91" spans="1:7" ht="19.5">
      <c r="A91" s="92"/>
      <c r="B91" s="91"/>
      <c r="C91" s="88"/>
      <c r="D91"/>
      <c r="E91" s="95"/>
      <c r="F91" s="641">
        <v>0</v>
      </c>
      <c r="G91" s="642"/>
    </row>
    <row r="92" spans="1:7" ht="19.5">
      <c r="A92" s="92"/>
      <c r="B92" s="91"/>
      <c r="C92" s="88"/>
      <c r="D92"/>
      <c r="E92" s="95"/>
      <c r="F92" s="641"/>
      <c r="G92" s="642"/>
    </row>
    <row r="93" spans="1:7" ht="19.5">
      <c r="A93" s="92"/>
      <c r="B93" s="91"/>
      <c r="C93" s="88"/>
      <c r="D93"/>
      <c r="E93" s="95"/>
      <c r="F93" s="641"/>
      <c r="G93" s="642"/>
    </row>
    <row r="94" spans="1:7" ht="19.5">
      <c r="A94" s="92"/>
      <c r="B94" s="91"/>
      <c r="C94" s="88"/>
      <c r="D94"/>
      <c r="E94" s="95"/>
      <c r="F94" s="641"/>
      <c r="G94" s="642"/>
    </row>
    <row r="95" spans="1:7" ht="19.5">
      <c r="A95" s="92"/>
      <c r="B95" s="91"/>
      <c r="C95" s="88"/>
      <c r="D95"/>
      <c r="E95" s="95"/>
      <c r="F95" s="641"/>
      <c r="G95" s="642"/>
    </row>
    <row r="96" spans="1:7" ht="19.5">
      <c r="A96" s="92"/>
      <c r="B96" s="91"/>
      <c r="C96" s="88"/>
      <c r="D96"/>
      <c r="E96" s="95"/>
      <c r="F96" s="641"/>
      <c r="G96" s="642"/>
    </row>
    <row r="97" spans="1:7" ht="19.5">
      <c r="A97" s="92"/>
      <c r="B97" s="91"/>
      <c r="C97" s="88"/>
      <c r="D97"/>
      <c r="E97" s="95"/>
      <c r="F97" s="641"/>
      <c r="G97" s="642"/>
    </row>
    <row r="98" spans="1:7" ht="19.5">
      <c r="A98" s="92"/>
      <c r="B98" s="91"/>
      <c r="C98" s="88"/>
      <c r="D98"/>
      <c r="E98" s="95"/>
      <c r="F98" s="641"/>
      <c r="G98" s="642"/>
    </row>
    <row r="99" spans="1:7" ht="19.5">
      <c r="A99" s="92"/>
      <c r="B99" s="91"/>
      <c r="C99" s="88"/>
      <c r="D99"/>
      <c r="E99" s="95"/>
      <c r="F99" s="88"/>
      <c r="G99" s="88"/>
    </row>
    <row r="100" spans="1:7" ht="19.5">
      <c r="A100" s="92">
        <f>+A90+1</f>
        <v>18</v>
      </c>
      <c r="B100" s="91"/>
      <c r="C100" s="88" t="s">
        <v>319</v>
      </c>
      <c r="D100"/>
      <c r="E100" s="95">
        <f>SUM(F101:F106)</f>
        <v>0</v>
      </c>
      <c r="F100" s="88"/>
      <c r="G100" s="88"/>
    </row>
    <row r="101" spans="1:7" ht="19.5">
      <c r="A101" s="92"/>
      <c r="B101" s="91"/>
      <c r="C101" s="88"/>
      <c r="D101"/>
      <c r="E101" s="95"/>
      <c r="F101" s="641"/>
      <c r="G101" s="642"/>
    </row>
    <row r="102" spans="1:7" ht="19.5">
      <c r="A102" s="92"/>
      <c r="B102" s="91"/>
      <c r="C102" s="88"/>
      <c r="D102"/>
      <c r="E102" s="95"/>
      <c r="F102" s="641"/>
      <c r="G102" s="642"/>
    </row>
    <row r="103" spans="1:7" ht="19.5">
      <c r="A103" s="92"/>
      <c r="B103" s="91"/>
      <c r="C103" s="88"/>
      <c r="D103"/>
      <c r="E103" s="95"/>
      <c r="F103" s="641"/>
      <c r="G103" s="642"/>
    </row>
    <row r="104" spans="1:7" ht="19.5">
      <c r="A104" s="92"/>
      <c r="B104" s="91"/>
      <c r="C104" s="88"/>
      <c r="D104"/>
      <c r="E104" s="95"/>
      <c r="F104" s="641"/>
      <c r="G104" s="642"/>
    </row>
    <row r="105" spans="1:7" ht="19.5">
      <c r="A105" s="92"/>
      <c r="B105" s="91"/>
      <c r="C105" s="88"/>
      <c r="D105"/>
      <c r="E105" s="95"/>
      <c r="F105" s="641"/>
      <c r="G105" s="642"/>
    </row>
    <row r="106" spans="1:7" ht="19.5">
      <c r="A106" s="92"/>
      <c r="B106" s="91"/>
      <c r="C106" s="88"/>
      <c r="D106"/>
      <c r="E106" s="95"/>
      <c r="F106" s="641"/>
      <c r="G106" s="642"/>
    </row>
    <row r="107" spans="1:7" ht="19.5">
      <c r="A107" s="92">
        <f>+A100+1</f>
        <v>19</v>
      </c>
      <c r="B107" s="91"/>
      <c r="C107" s="88" t="s">
        <v>320</v>
      </c>
      <c r="D107" s="91"/>
      <c r="E107" s="95">
        <f>SUM(F108:F109)</f>
        <v>0</v>
      </c>
      <c r="F107" s="88"/>
      <c r="G107" s="243"/>
    </row>
    <row r="108" spans="1:7" ht="19.5">
      <c r="A108" s="92"/>
      <c r="B108" s="91"/>
      <c r="C108" s="88"/>
      <c r="D108" s="91"/>
      <c r="E108" s="95"/>
      <c r="F108" s="641"/>
      <c r="G108" s="642"/>
    </row>
    <row r="109" spans="1:7" ht="19.5">
      <c r="A109" s="92"/>
      <c r="B109" s="91"/>
      <c r="C109" s="88"/>
      <c r="D109" s="91"/>
      <c r="E109" s="217"/>
      <c r="F109" s="641"/>
      <c r="G109" s="642"/>
    </row>
    <row r="110" spans="1:7" ht="19.5">
      <c r="A110" s="92">
        <f>+A107+1</f>
        <v>20</v>
      </c>
      <c r="B110" s="91"/>
      <c r="C110" s="88" t="s">
        <v>321</v>
      </c>
      <c r="E110" s="95">
        <f>SUM(F111:F115)</f>
        <v>24605</v>
      </c>
      <c r="G110" s="88"/>
    </row>
    <row r="111" spans="1:7" ht="19.5">
      <c r="A111" s="92"/>
      <c r="B111" s="91"/>
      <c r="C111" s="88"/>
      <c r="D111" s="91"/>
      <c r="E111" s="95"/>
      <c r="F111" s="641">
        <v>24605</v>
      </c>
      <c r="G111" s="642" t="s">
        <v>1469</v>
      </c>
    </row>
    <row r="112" spans="1:7" ht="19.5">
      <c r="A112" s="92"/>
      <c r="B112" s="91"/>
      <c r="C112" s="88"/>
      <c r="D112" s="91"/>
      <c r="E112" s="95"/>
      <c r="F112" s="641"/>
      <c r="G112" s="642"/>
    </row>
    <row r="113" spans="1:9" ht="19.5">
      <c r="A113" s="92"/>
      <c r="B113" s="91"/>
      <c r="C113" s="88"/>
      <c r="D113" s="91"/>
      <c r="E113" s="95"/>
      <c r="F113" s="641"/>
      <c r="G113" s="642"/>
    </row>
    <row r="114" spans="1:9" ht="19.5">
      <c r="A114" s="92"/>
      <c r="B114" s="91"/>
      <c r="C114" s="88"/>
      <c r="D114" s="91"/>
      <c r="E114" s="95"/>
      <c r="F114" s="641"/>
      <c r="G114" s="642"/>
    </row>
    <row r="115" spans="1:9" ht="19.5">
      <c r="A115" s="92"/>
      <c r="B115" s="91"/>
      <c r="C115" s="88"/>
      <c r="D115" s="91"/>
      <c r="E115" s="95"/>
      <c r="F115" s="88"/>
      <c r="G115" s="88"/>
    </row>
    <row r="116" spans="1:9" ht="19.5">
      <c r="A116" s="92">
        <f>+A110+1</f>
        <v>21</v>
      </c>
      <c r="B116" s="91"/>
      <c r="C116" s="88" t="s">
        <v>309</v>
      </c>
      <c r="D116" s="88"/>
      <c r="E116" s="95">
        <f>SUM(F117:F118)</f>
        <v>45518</v>
      </c>
      <c r="F116" s="88"/>
      <c r="G116" s="88"/>
    </row>
    <row r="117" spans="1:9" ht="19.5">
      <c r="A117" s="92"/>
      <c r="B117" s="91"/>
      <c r="C117" s="88"/>
      <c r="D117" s="88"/>
      <c r="E117" s="95"/>
      <c r="F117" s="641">
        <v>45518</v>
      </c>
      <c r="G117" s="642" t="s">
        <v>1361</v>
      </c>
    </row>
    <row r="118" spans="1:9" ht="19.5">
      <c r="A118" s="92"/>
      <c r="B118" s="91"/>
      <c r="C118" s="88"/>
      <c r="D118" s="88"/>
      <c r="E118" s="95"/>
      <c r="F118" s="641"/>
      <c r="G118" s="642"/>
    </row>
    <row r="119" spans="1:9" ht="19.5">
      <c r="A119" s="92">
        <f>+A116+1</f>
        <v>22</v>
      </c>
      <c r="B119" s="88"/>
      <c r="C119" s="106"/>
      <c r="D119" s="88"/>
      <c r="E119" s="95">
        <f>SUM(F120:F120)</f>
        <v>0</v>
      </c>
      <c r="F119" s="212"/>
      <c r="G119" s="88"/>
    </row>
    <row r="120" spans="1:9" ht="19.5">
      <c r="A120" s="92"/>
      <c r="B120" s="88"/>
      <c r="C120" s="106"/>
      <c r="D120" s="88"/>
      <c r="E120" s="95"/>
      <c r="F120" s="641"/>
      <c r="G120" s="642"/>
    </row>
    <row r="121" spans="1:9" ht="19.5">
      <c r="A121" s="4"/>
      <c r="B121" s="88"/>
      <c r="C121" s="203"/>
      <c r="D121"/>
      <c r="E121"/>
      <c r="F121" s="202"/>
      <c r="G121" s="1"/>
    </row>
    <row r="122" spans="1:9" ht="20.25" thickBot="1">
      <c r="A122" s="196">
        <f>+A119+1</f>
        <v>23</v>
      </c>
      <c r="B122" s="203"/>
      <c r="C122" s="88" t="s">
        <v>312</v>
      </c>
      <c r="D122"/>
      <c r="E122" s="105">
        <f>E15+E26+E67+E69+E71+E85+E110+E90+E100+E116+E107+E119</f>
        <v>89058805.310000002</v>
      </c>
      <c r="F122" s="105">
        <f>SUM(F15:F120)</f>
        <v>89058805.310000002</v>
      </c>
      <c r="G122" s="88"/>
    </row>
    <row r="123" spans="1:9" ht="20.25" thickTop="1">
      <c r="A123" s="4"/>
      <c r="B123" s="203"/>
      <c r="C123" s="88" t="s">
        <v>382</v>
      </c>
      <c r="D123"/>
      <c r="E123"/>
      <c r="F123" s="212"/>
      <c r="G123" s="95"/>
      <c r="I123" s="180"/>
    </row>
    <row r="124" spans="1:9" ht="21">
      <c r="A124" s="4"/>
      <c r="B124" s="203"/>
      <c r="C124" s="88"/>
      <c r="D124"/>
      <c r="E124" s="227"/>
      <c r="F124" s="128" t="s">
        <v>115</v>
      </c>
      <c r="G124" s="95">
        <f>F122-89058804</f>
        <v>1.3100000023841858</v>
      </c>
    </row>
    <row r="125" spans="1:9" ht="20.25" customHeight="1">
      <c r="A125" s="1267" t="s">
        <v>757</v>
      </c>
      <c r="B125" s="1267"/>
      <c r="C125" s="1267"/>
      <c r="D125" s="1267"/>
      <c r="E125" s="1267"/>
      <c r="F125" s="1267"/>
      <c r="G125" s="1267"/>
    </row>
    <row r="126" spans="1:9" ht="20.25" customHeight="1">
      <c r="A126" s="1267"/>
      <c r="B126" s="1267"/>
      <c r="C126" s="1267"/>
      <c r="D126" s="1267"/>
      <c r="E126" s="1267"/>
      <c r="F126" s="1267"/>
      <c r="G126" s="1267"/>
    </row>
    <row r="127" spans="1:9" ht="20.25" customHeight="1">
      <c r="A127" s="1267"/>
      <c r="B127" s="1267"/>
      <c r="C127" s="1267"/>
      <c r="D127" s="1267"/>
      <c r="E127" s="1267"/>
      <c r="F127" s="1267"/>
      <c r="G127" s="1267"/>
    </row>
    <row r="128" spans="1:9" ht="20.25" customHeight="1">
      <c r="A128" s="1267"/>
      <c r="B128" s="1267"/>
      <c r="C128" s="1267"/>
      <c r="D128" s="1267"/>
      <c r="E128" s="1267"/>
      <c r="F128" s="1267"/>
      <c r="G128" s="1267"/>
    </row>
    <row r="129" spans="1:7" ht="20.25" customHeight="1">
      <c r="A129" s="1267"/>
      <c r="B129" s="1267"/>
      <c r="C129" s="1267"/>
      <c r="D129" s="1267"/>
      <c r="E129" s="1267"/>
      <c r="F129" s="1267"/>
      <c r="G129" s="1267"/>
    </row>
    <row r="130" spans="1:7" ht="20.25" customHeight="1">
      <c r="A130" s="851"/>
      <c r="B130" s="851"/>
      <c r="C130" s="851"/>
      <c r="D130" s="851"/>
      <c r="E130" s="851"/>
      <c r="F130" s="851"/>
      <c r="G130" s="851"/>
    </row>
    <row r="131" spans="1:7" ht="30.75" customHeight="1">
      <c r="A131" s="1266" t="s">
        <v>855</v>
      </c>
      <c r="B131" s="1266"/>
      <c r="C131" s="1266"/>
      <c r="D131" s="1266"/>
      <c r="E131" s="1266"/>
      <c r="F131" s="1266"/>
      <c r="G131" s="1266"/>
    </row>
    <row r="132" spans="1:7" ht="30.75" customHeight="1">
      <c r="A132" s="1266"/>
      <c r="B132" s="1266"/>
      <c r="C132" s="1266"/>
      <c r="D132" s="1266"/>
      <c r="E132" s="1266"/>
      <c r="F132" s="1266"/>
      <c r="G132" s="1266"/>
    </row>
    <row r="133" spans="1:7" ht="19.5">
      <c r="F133" s="88"/>
      <c r="G133" s="88"/>
    </row>
    <row r="134" spans="1:7" ht="19.5">
      <c r="F134" s="212"/>
      <c r="G134" s="88"/>
    </row>
    <row r="135" spans="1:7" ht="19.5">
      <c r="F135" s="212"/>
      <c r="G135" s="88"/>
    </row>
    <row r="136" spans="1:7" ht="19.5">
      <c r="F136" s="212"/>
      <c r="G136" s="88"/>
    </row>
    <row r="137" spans="1:7" ht="19.5">
      <c r="F137" s="88"/>
    </row>
    <row r="138" spans="1:7" ht="19.5">
      <c r="F138" s="88"/>
    </row>
    <row r="139" spans="1:7" ht="19.5">
      <c r="F139" s="88"/>
    </row>
    <row r="140" spans="1:7" ht="19.5">
      <c r="F140" s="88"/>
    </row>
    <row r="141" spans="1:7" ht="19.5">
      <c r="F141" s="95"/>
    </row>
  </sheetData>
  <mergeCells count="7">
    <mergeCell ref="A131:G132"/>
    <mergeCell ref="A125:G129"/>
    <mergeCell ref="A7:F7"/>
    <mergeCell ref="A3:F3"/>
    <mergeCell ref="A4:F4"/>
    <mergeCell ref="A5:F5"/>
    <mergeCell ref="A6:F6"/>
  </mergeCells>
  <phoneticPr fontId="74" type="noConversion"/>
  <pageMargins left="0.82" right="1.28" top="0.68" bottom="0.37" header="0.5" footer="0.5"/>
  <pageSetup scale="30" orientation="portrait" r:id="rId1"/>
  <headerFooter alignWithMargins="0">
    <oddHeader>&amp;R&amp;"Arial,Bold"Formula Rate 
&amp;A
Page &amp;P of &amp;N</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AC78"/>
  <sheetViews>
    <sheetView tabSelected="1" view="pageBreakPreview" zoomScale="60" zoomScaleNormal="100" workbookViewId="0">
      <selection activeCell="D9" sqref="D9"/>
    </sheetView>
  </sheetViews>
  <sheetFormatPr defaultRowHeight="12.75"/>
  <cols>
    <col min="1" max="1" width="4.5703125" customWidth="1"/>
    <col min="3" max="3" width="13.85546875" customWidth="1"/>
    <col min="4" max="4" width="18.85546875" customWidth="1"/>
    <col min="5" max="5" width="13.140625" customWidth="1"/>
    <col min="6" max="6" width="12.5703125" customWidth="1"/>
    <col min="7" max="8" width="19.42578125" customWidth="1"/>
    <col min="9" max="9" width="18.5703125" customWidth="1"/>
    <col min="10" max="10" width="1.42578125" customWidth="1"/>
    <col min="12" max="12" width="15" bestFit="1" customWidth="1"/>
  </cols>
  <sheetData>
    <row r="1" spans="1:29" ht="15.75">
      <c r="A1" s="669" t="s">
        <v>115</v>
      </c>
    </row>
    <row r="2" spans="1:29" ht="15.75">
      <c r="A2" s="669" t="s">
        <v>115</v>
      </c>
    </row>
    <row r="3" spans="1:29" ht="18">
      <c r="A3" s="1269" t="s">
        <v>388</v>
      </c>
      <c r="B3" s="1269"/>
      <c r="C3" s="1269"/>
      <c r="D3" s="1269"/>
      <c r="E3" s="1269"/>
      <c r="F3" s="1269"/>
      <c r="G3" s="1269"/>
      <c r="H3" s="1269"/>
      <c r="I3" s="1269"/>
      <c r="J3" s="1269"/>
      <c r="K3" s="123"/>
      <c r="L3" s="123"/>
      <c r="M3" s="123"/>
    </row>
    <row r="4" spans="1:29" ht="18">
      <c r="A4" s="1268" t="str">
        <f>"Cost of Service Formula Rate Using "&amp;TCOS!L4&amp;" FF1 Balances"</f>
        <v>Cost of Service Formula Rate Using 2025 FF1 Balances</v>
      </c>
      <c r="B4" s="1268"/>
      <c r="C4" s="1268"/>
      <c r="D4" s="1268"/>
      <c r="E4" s="1268"/>
      <c r="F4" s="1268"/>
      <c r="G4" s="1268"/>
      <c r="H4" s="1268"/>
      <c r="I4" s="1268"/>
      <c r="J4" s="1268"/>
      <c r="K4" s="77"/>
      <c r="L4" s="77"/>
      <c r="M4" s="77"/>
    </row>
    <row r="5" spans="1:29" ht="18">
      <c r="A5" s="1268" t="s">
        <v>548</v>
      </c>
      <c r="B5" s="1268"/>
      <c r="C5" s="1268"/>
      <c r="D5" s="1268"/>
      <c r="E5" s="1268"/>
      <c r="F5" s="1268"/>
      <c r="G5" s="1268"/>
      <c r="H5" s="1268"/>
      <c r="I5" s="1268"/>
      <c r="J5" s="1268"/>
      <c r="K5" s="124"/>
      <c r="L5" s="124"/>
      <c r="M5" s="124"/>
    </row>
    <row r="6" spans="1:29" ht="18">
      <c r="A6" s="1262" t="str">
        <f>+TCOS!F9</f>
        <v xml:space="preserve">Indiana Michigan Power Company </v>
      </c>
      <c r="B6" s="1262"/>
      <c r="C6" s="1262"/>
      <c r="D6" s="1262"/>
      <c r="E6" s="1262"/>
      <c r="F6" s="1262"/>
      <c r="G6" s="1262"/>
      <c r="H6" s="1262"/>
      <c r="I6" s="1262"/>
      <c r="J6" s="1262"/>
      <c r="K6" s="129"/>
      <c r="L6" s="129"/>
      <c r="M6" s="129"/>
    </row>
    <row r="8" spans="1:29" ht="18">
      <c r="A8" s="135"/>
      <c r="B8" s="13"/>
      <c r="D8" s="82"/>
      <c r="E8" s="4"/>
      <c r="F8" s="84"/>
    </row>
    <row r="9" spans="1:29" ht="18">
      <c r="C9" s="4"/>
      <c r="D9" s="82"/>
      <c r="E9" s="4"/>
      <c r="F9" s="84"/>
      <c r="Q9" s="123"/>
      <c r="R9" s="123"/>
      <c r="S9" s="123"/>
      <c r="T9" s="123"/>
      <c r="U9" s="123"/>
      <c r="V9" s="123"/>
      <c r="W9" s="123"/>
      <c r="X9" s="123"/>
      <c r="Y9" s="123"/>
      <c r="Z9" s="123"/>
      <c r="AA9" s="123"/>
      <c r="AB9" s="123"/>
      <c r="AC9" s="123"/>
    </row>
    <row r="10" spans="1:29">
      <c r="C10" s="4"/>
      <c r="D10" s="82"/>
    </row>
    <row r="11" spans="1:29">
      <c r="C11" s="4"/>
      <c r="D11" s="82"/>
    </row>
    <row r="12" spans="1:29">
      <c r="C12" s="4"/>
      <c r="D12" s="82"/>
      <c r="H12" s="83"/>
    </row>
    <row r="13" spans="1:29">
      <c r="C13" s="4"/>
      <c r="D13" s="82"/>
      <c r="H13" s="83"/>
    </row>
    <row r="14" spans="1:29">
      <c r="C14" s="4"/>
      <c r="D14" s="82"/>
      <c r="E14" s="4"/>
      <c r="H14" s="83"/>
    </row>
    <row r="15" spans="1:29">
      <c r="C15" s="4"/>
      <c r="D15" s="82"/>
      <c r="E15" s="4"/>
      <c r="H15" s="84"/>
    </row>
    <row r="16" spans="1:29">
      <c r="C16" s="4"/>
      <c r="D16" s="82"/>
      <c r="E16" s="4"/>
      <c r="H16" s="130"/>
    </row>
    <row r="18" spans="1:12" ht="18">
      <c r="A18" s="135"/>
      <c r="B18" s="13"/>
    </row>
    <row r="20" spans="1:12">
      <c r="A20" s="12"/>
      <c r="B20" s="12"/>
      <c r="C20" s="131"/>
      <c r="E20" s="131"/>
      <c r="F20" s="131"/>
      <c r="G20" s="131"/>
      <c r="H20" s="131"/>
      <c r="I20" s="131"/>
      <c r="J20" s="132"/>
    </row>
    <row r="22" spans="1:12">
      <c r="E22" s="133"/>
      <c r="F22" s="134"/>
      <c r="G22" s="134"/>
      <c r="I22" s="134"/>
      <c r="L22" s="244"/>
    </row>
    <row r="23" spans="1:12">
      <c r="E23" s="86"/>
      <c r="F23" s="134"/>
      <c r="G23" s="134"/>
      <c r="I23" s="134"/>
      <c r="L23" s="244"/>
    </row>
    <row r="24" spans="1:12">
      <c r="E24" s="86"/>
      <c r="F24" s="134"/>
      <c r="G24" s="134"/>
      <c r="I24" s="134"/>
      <c r="L24" s="244"/>
    </row>
    <row r="25" spans="1:12">
      <c r="E25" s="86"/>
      <c r="F25" s="134"/>
      <c r="G25" s="134"/>
      <c r="I25" s="134"/>
      <c r="L25" s="244"/>
    </row>
    <row r="26" spans="1:12">
      <c r="E26" s="86"/>
      <c r="F26" s="134"/>
      <c r="G26" s="134"/>
      <c r="I26" s="134"/>
      <c r="L26" s="244"/>
    </row>
    <row r="27" spans="1:12">
      <c r="E27" s="86"/>
      <c r="F27" s="134"/>
      <c r="G27" s="134"/>
      <c r="I27" s="134"/>
      <c r="L27" s="244"/>
    </row>
    <row r="28" spans="1:12">
      <c r="E28" s="86"/>
      <c r="F28" s="134"/>
      <c r="G28" s="134"/>
      <c r="I28" s="134"/>
      <c r="L28" s="244"/>
    </row>
    <row r="29" spans="1:12">
      <c r="E29" s="86"/>
      <c r="F29" s="134"/>
      <c r="G29" s="134"/>
      <c r="I29" s="134"/>
      <c r="L29" s="244"/>
    </row>
    <row r="30" spans="1:12">
      <c r="E30" s="86"/>
      <c r="F30" s="134"/>
      <c r="G30" s="134"/>
      <c r="I30" s="134"/>
      <c r="L30" s="244"/>
    </row>
    <row r="31" spans="1:12">
      <c r="E31" s="86"/>
      <c r="F31" s="134"/>
      <c r="G31" s="134"/>
      <c r="I31" s="134"/>
      <c r="L31" s="244"/>
    </row>
    <row r="32" spans="1:12">
      <c r="E32" s="86"/>
      <c r="F32" s="134"/>
      <c r="G32" s="134"/>
      <c r="I32" s="134"/>
      <c r="L32" s="244"/>
    </row>
    <row r="33" spans="1:12">
      <c r="E33" s="86"/>
      <c r="F33" s="134"/>
      <c r="G33" s="134"/>
      <c r="I33" s="134"/>
      <c r="L33" s="244"/>
    </row>
    <row r="35" spans="1:12">
      <c r="H35" s="79"/>
      <c r="I35" s="247"/>
    </row>
    <row r="37" spans="1:12" ht="18">
      <c r="A37" s="135"/>
      <c r="B37" s="13"/>
    </row>
    <row r="44" spans="1:12" ht="18">
      <c r="A44" s="135"/>
      <c r="B44" s="144"/>
      <c r="C44" s="136"/>
      <c r="E44" s="136"/>
      <c r="F44" s="136"/>
      <c r="G44" s="136"/>
      <c r="H44" s="136"/>
      <c r="I44" s="82"/>
    </row>
    <row r="45" spans="1:12">
      <c r="B45" s="137"/>
      <c r="C45" s="136"/>
      <c r="E45" s="136"/>
      <c r="F45" s="136"/>
      <c r="G45" s="136"/>
      <c r="H45" s="136"/>
      <c r="I45" s="82"/>
    </row>
    <row r="46" spans="1:12">
      <c r="B46" s="143"/>
      <c r="C46" s="136"/>
      <c r="E46" s="136"/>
      <c r="F46" s="136"/>
      <c r="G46" s="145"/>
      <c r="H46" s="145"/>
    </row>
    <row r="47" spans="1:12">
      <c r="B47" s="143"/>
      <c r="C47" s="138"/>
      <c r="E47" s="138"/>
      <c r="F47" s="138"/>
      <c r="G47" s="138"/>
    </row>
    <row r="48" spans="1:12">
      <c r="B48" s="140"/>
      <c r="F48" s="79"/>
      <c r="G48" s="173"/>
      <c r="H48" s="1"/>
      <c r="I48" s="141"/>
      <c r="J48" s="146"/>
    </row>
    <row r="49" spans="2:10">
      <c r="B49" s="140"/>
      <c r="F49" s="79"/>
      <c r="G49" s="139"/>
      <c r="H49" s="1"/>
      <c r="I49" s="141"/>
      <c r="J49" s="146"/>
    </row>
    <row r="50" spans="2:10">
      <c r="B50" s="143"/>
      <c r="G50" s="139"/>
      <c r="H50" s="1"/>
      <c r="I50" s="141"/>
      <c r="J50" s="146"/>
    </row>
    <row r="51" spans="2:10">
      <c r="C51" s="136"/>
      <c r="D51" s="136"/>
      <c r="E51" s="136"/>
      <c r="F51" s="136"/>
      <c r="G51" s="173"/>
      <c r="H51" s="146"/>
      <c r="J51" s="146"/>
    </row>
    <row r="52" spans="2:10">
      <c r="F52" s="79"/>
      <c r="G52" s="173"/>
      <c r="J52" s="147"/>
    </row>
    <row r="55" spans="2:10">
      <c r="D55" s="147"/>
    </row>
    <row r="56" spans="2:10">
      <c r="D56" s="147"/>
      <c r="H56" s="82"/>
    </row>
    <row r="57" spans="2:10">
      <c r="D57" s="147"/>
      <c r="H57" s="136"/>
    </row>
    <row r="58" spans="2:10">
      <c r="D58" s="147"/>
    </row>
    <row r="59" spans="2:10">
      <c r="D59" s="147"/>
      <c r="H59" s="82"/>
    </row>
    <row r="60" spans="2:10">
      <c r="D60" s="147"/>
    </row>
    <row r="61" spans="2:10">
      <c r="D61" s="147"/>
    </row>
    <row r="62" spans="2:10">
      <c r="D62" s="147"/>
    </row>
    <row r="63" spans="2:10">
      <c r="D63" s="147"/>
      <c r="H63" s="137"/>
    </row>
    <row r="64" spans="2:10">
      <c r="D64" s="147"/>
      <c r="H64" s="174"/>
    </row>
    <row r="65" spans="2:8">
      <c r="D65" s="147"/>
      <c r="H65" s="174"/>
    </row>
    <row r="66" spans="2:8">
      <c r="D66" s="147"/>
    </row>
    <row r="74" spans="2:8">
      <c r="B74" s="140"/>
      <c r="G74" s="141"/>
    </row>
    <row r="75" spans="2:8">
      <c r="G75" s="141"/>
    </row>
    <row r="76" spans="2:8">
      <c r="B76" s="175"/>
      <c r="G76" s="176"/>
    </row>
    <row r="77" spans="2:8">
      <c r="G77" s="141"/>
    </row>
    <row r="78" spans="2:8">
      <c r="G78" s="142"/>
    </row>
  </sheetData>
  <mergeCells count="4">
    <mergeCell ref="A4:J4"/>
    <mergeCell ref="A3:J3"/>
    <mergeCell ref="A6:J6"/>
    <mergeCell ref="A5:J5"/>
  </mergeCells>
  <phoneticPr fontId="0" type="noConversion"/>
  <pageMargins left="0.26" right="0.61" top="1" bottom="1" header="0.75" footer="0.5"/>
  <pageSetup scale="75" orientation="portrait" r:id="rId1"/>
  <headerFooter alignWithMargins="0">
    <oddHeader>&amp;R&amp;"Arial,Bold"Formula Rate 
&amp;A
Page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P795"/>
  <sheetViews>
    <sheetView view="pageBreakPreview" topLeftCell="A715" zoomScale="85" zoomScaleNormal="100" zoomScaleSheetLayoutView="85" workbookViewId="0">
      <selection activeCell="D723" sqref="D723"/>
    </sheetView>
  </sheetViews>
  <sheetFormatPr defaultColWidth="8.85546875" defaultRowHeight="12.75"/>
  <cols>
    <col min="1" max="1" width="4.5703125" customWidth="1"/>
    <col min="2" max="2" width="6.5703125" customWidth="1"/>
    <col min="3" max="3" width="42" customWidth="1"/>
    <col min="4" max="4" width="17.5703125" style="1" customWidth="1"/>
    <col min="5" max="7" width="17.5703125" customWidth="1"/>
    <col min="8" max="8" width="17.5703125" style="418" customWidth="1"/>
    <col min="9" max="9" width="17.5703125" bestFit="1" customWidth="1"/>
    <col min="10" max="10" width="2.140625" customWidth="1"/>
    <col min="11" max="11" width="20.5703125" customWidth="1"/>
    <col min="12" max="14" width="17.5703125" customWidth="1"/>
    <col min="15" max="15" width="16.5703125" customWidth="1"/>
    <col min="16" max="16" width="2.140625" style="4" customWidth="1"/>
  </cols>
  <sheetData>
    <row r="1" spans="1:16" ht="15.75">
      <c r="A1" s="669" t="s">
        <v>115</v>
      </c>
    </row>
    <row r="2" spans="1:16" ht="15.75">
      <c r="A2" s="669" t="s">
        <v>115</v>
      </c>
    </row>
    <row r="3" spans="1:16" ht="15">
      <c r="A3" s="1230" t="s">
        <v>388</v>
      </c>
      <c r="B3" s="1230"/>
      <c r="C3" s="1230"/>
      <c r="D3" s="1230"/>
      <c r="E3" s="1230"/>
      <c r="F3" s="1230"/>
      <c r="G3" s="1230"/>
      <c r="H3" s="1230"/>
      <c r="I3" s="1230"/>
      <c r="J3" s="1230"/>
      <c r="K3" s="1230"/>
      <c r="L3" s="1230"/>
      <c r="M3" s="1230"/>
      <c r="N3" s="1230"/>
      <c r="O3" s="1230"/>
    </row>
    <row r="4" spans="1:16" ht="15">
      <c r="A4" s="1231" t="str">
        <f>"Cost of Service Formula Rate Using "&amp;TCOS!L4&amp;" FF1 Balances"</f>
        <v>Cost of Service Formula Rate Using 2025 FF1 Balances</v>
      </c>
      <c r="B4" s="1231"/>
      <c r="C4" s="1231"/>
      <c r="D4" s="1231"/>
      <c r="E4" s="1231"/>
      <c r="F4" s="1231"/>
      <c r="G4" s="1231"/>
      <c r="H4" s="1231"/>
      <c r="I4" s="1231"/>
      <c r="J4" s="1231"/>
      <c r="K4" s="1231"/>
      <c r="L4" s="1231"/>
      <c r="M4" s="1231"/>
      <c r="N4" s="1231"/>
      <c r="O4" s="1231"/>
    </row>
    <row r="5" spans="1:16" ht="15">
      <c r="A5" s="1231" t="s">
        <v>469</v>
      </c>
      <c r="B5" s="1231"/>
      <c r="C5" s="1231"/>
      <c r="D5" s="1231"/>
      <c r="E5" s="1231"/>
      <c r="F5" s="1231"/>
      <c r="G5" s="1231"/>
      <c r="H5" s="1231"/>
      <c r="I5" s="1231"/>
      <c r="J5" s="1231"/>
      <c r="K5" s="1231"/>
      <c r="L5" s="1231"/>
      <c r="M5" s="1231"/>
      <c r="N5" s="1231"/>
      <c r="O5" s="1231"/>
    </row>
    <row r="6" spans="1:16" ht="15">
      <c r="A6" s="1239" t="str">
        <f>TCOS!F9</f>
        <v xml:space="preserve">Indiana Michigan Power Company </v>
      </c>
      <c r="B6" s="1239"/>
      <c r="C6" s="1239"/>
      <c r="D6" s="1239"/>
      <c r="E6" s="1239"/>
      <c r="F6" s="1239"/>
      <c r="G6" s="1239"/>
      <c r="H6" s="1239"/>
      <c r="I6" s="1239"/>
      <c r="J6" s="1239"/>
      <c r="K6" s="1239"/>
      <c r="L6" s="1239"/>
      <c r="M6" s="1239"/>
      <c r="N6" s="1239"/>
      <c r="O6" s="1239"/>
    </row>
    <row r="8" spans="1:16" ht="20.25">
      <c r="A8" s="419"/>
      <c r="N8" s="11" t="str">
        <f>"Page "&amp;P8&amp;" of "</f>
        <v xml:space="preserve">Page 1 of </v>
      </c>
      <c r="O8" s="420">
        <f>COUNT(P$8:P$57834)</f>
        <v>9</v>
      </c>
      <c r="P8" s="11">
        <v>1</v>
      </c>
    </row>
    <row r="9" spans="1:16" ht="18">
      <c r="C9" s="13"/>
    </row>
    <row r="11" spans="1:16" ht="18">
      <c r="B11" s="421" t="s">
        <v>172</v>
      </c>
      <c r="C11" s="1282" t="str">
        <f>"Calculate Return and Income Taxes with "&amp;F17&amp;" basis point ROE increase for Projects Qualified for Regional Billing."</f>
        <v>Calculate Return and Income Taxes with  basis point ROE increase for Projects Qualified for Regional Billing.</v>
      </c>
      <c r="D11" s="1283"/>
      <c r="E11" s="1283"/>
      <c r="F11" s="1283"/>
      <c r="G11" s="1283"/>
      <c r="H11" s="1283"/>
    </row>
    <row r="12" spans="1:16" ht="18.75" customHeight="1">
      <c r="C12" s="1283"/>
      <c r="D12" s="1283"/>
      <c r="E12" s="1283"/>
      <c r="F12" s="1283"/>
      <c r="G12" s="1283"/>
      <c r="H12" s="1283"/>
    </row>
    <row r="13" spans="1:16" ht="15.75" customHeight="1">
      <c r="C13" s="12"/>
      <c r="D13" s="12"/>
      <c r="E13" s="12"/>
      <c r="F13" s="12"/>
      <c r="G13" s="12"/>
      <c r="H13" s="12"/>
    </row>
    <row r="14" spans="1:16" ht="15.75">
      <c r="C14" s="422" t="str">
        <f>"A.   Determine 'R' with hypothetical "&amp;F17&amp;" basis point increase in ROE for Identified Projects"</f>
        <v>A.   Determine 'R' with hypothetical  basis point increase in ROE for Identified Projects</v>
      </c>
    </row>
    <row r="16" spans="1:16">
      <c r="C16" s="423" t="str">
        <f>"   ROE w/o incentives  (TCOS, ln "&amp;TCOS!B273&amp;")"</f>
        <v xml:space="preserve">   ROE w/o incentives  (TCOS, ln 156)</v>
      </c>
      <c r="E16" s="424"/>
      <c r="F16" s="425">
        <f>TCOS!J273</f>
        <v>0.10349999999999999</v>
      </c>
      <c r="G16" s="424"/>
      <c r="H16" s="426"/>
      <c r="I16" s="426"/>
      <c r="J16" s="426"/>
      <c r="K16" s="426"/>
      <c r="L16" s="426"/>
      <c r="M16" s="426"/>
      <c r="N16" s="426"/>
      <c r="O16" s="426"/>
      <c r="P16" s="426"/>
    </row>
    <row r="17" spans="3:16">
      <c r="C17" s="423" t="s">
        <v>253</v>
      </c>
      <c r="E17" s="424"/>
      <c r="F17" s="643"/>
      <c r="G17" s="424"/>
      <c r="H17" s="426"/>
      <c r="I17" s="426"/>
      <c r="J17" s="426"/>
    </row>
    <row r="18" spans="3:16">
      <c r="C18" s="423" t="str">
        <f>"   ROE with additional "&amp;F17&amp;" basis point incentive"</f>
        <v xml:space="preserve">   ROE with additional  basis point incentive</v>
      </c>
      <c r="D18" s="424"/>
      <c r="E18" s="424"/>
      <c r="F18" s="427">
        <f>IF((F16+(F17/10000)&gt;0.1274),"ERROR",F16+(F17/10000))</f>
        <v>0.10349999999999999</v>
      </c>
      <c r="G18" s="428"/>
      <c r="H18" s="426"/>
      <c r="I18" s="426"/>
      <c r="J18" s="426"/>
    </row>
    <row r="19" spans="3:16">
      <c r="C19" s="423" t="str">
        <f>"   Determine R  ( cost of long term debt, cost of preferred stock and equity percentage is from the TCOS, lns "&amp;TCOS!B271&amp;" through"&amp;TCOS!B273&amp;")"</f>
        <v xml:space="preserve">   Determine R  ( cost of long term debt, cost of preferred stock and equity percentage is from the TCOS, lns 154 through156)</v>
      </c>
      <c r="E19" s="424"/>
      <c r="F19" s="429"/>
      <c r="G19" s="424"/>
      <c r="H19" s="426"/>
      <c r="I19" s="426"/>
      <c r="J19" s="426"/>
    </row>
    <row r="20" spans="3:16">
      <c r="C20" s="426"/>
      <c r="D20" s="430" t="s">
        <v>147</v>
      </c>
      <c r="E20" s="430" t="s">
        <v>146</v>
      </c>
      <c r="F20" s="431" t="s">
        <v>254</v>
      </c>
      <c r="G20" s="424"/>
      <c r="H20" s="426"/>
      <c r="I20" s="426"/>
      <c r="J20" s="426"/>
    </row>
    <row r="21" spans="3:16" ht="13.5" thickBot="1">
      <c r="C21" s="432" t="s">
        <v>258</v>
      </c>
      <c r="D21" s="433">
        <f>TCOS!H271</f>
        <v>0.46062049491619406</v>
      </c>
      <c r="E21" s="433">
        <f>TCOS!J271</f>
        <v>4.5584821228362681E-2</v>
      </c>
      <c r="F21" s="434">
        <f>E21*D21</f>
        <v>2.0997302914874647E-2</v>
      </c>
      <c r="G21" s="424"/>
      <c r="H21" s="426"/>
      <c r="I21" s="435"/>
      <c r="J21" s="435"/>
      <c r="K21" s="203"/>
      <c r="L21" s="203"/>
      <c r="M21" s="203"/>
      <c r="N21" s="203"/>
      <c r="O21" s="203"/>
    </row>
    <row r="22" spans="3:16">
      <c r="C22" s="432" t="s">
        <v>259</v>
      </c>
      <c r="D22" s="433">
        <f>TCOS!H272</f>
        <v>0</v>
      </c>
      <c r="E22" s="433">
        <f>TCOS!J272</f>
        <v>0</v>
      </c>
      <c r="F22" s="434">
        <f>E22*D22</f>
        <v>0</v>
      </c>
      <c r="G22" s="436"/>
      <c r="H22" s="436"/>
      <c r="I22" s="437"/>
      <c r="J22" s="437"/>
      <c r="K22" s="1276" t="s">
        <v>452</v>
      </c>
      <c r="L22" s="1277"/>
      <c r="M22" s="1277"/>
      <c r="N22" s="1277"/>
      <c r="O22" s="1278"/>
      <c r="P22" s="437"/>
    </row>
    <row r="23" spans="3:16">
      <c r="C23" s="432" t="s">
        <v>245</v>
      </c>
      <c r="D23" s="433">
        <f>TCOS!H273</f>
        <v>0.53937950508380583</v>
      </c>
      <c r="E23" s="433">
        <f>+F18</f>
        <v>0.10349999999999999</v>
      </c>
      <c r="F23" s="438">
        <f>E23*D23</f>
        <v>5.5825778776173902E-2</v>
      </c>
      <c r="G23" s="436"/>
      <c r="H23" s="436"/>
      <c r="I23" s="437"/>
      <c r="J23" s="437"/>
      <c r="K23" s="1279"/>
      <c r="L23" s="1280"/>
      <c r="M23" s="1280"/>
      <c r="N23" s="1280"/>
      <c r="O23" s="1281"/>
      <c r="P23" s="437"/>
    </row>
    <row r="24" spans="3:16">
      <c r="C24" s="423"/>
      <c r="D24"/>
      <c r="E24" s="439" t="s">
        <v>261</v>
      </c>
      <c r="F24" s="434">
        <f>SUM(F21:F23)</f>
        <v>7.6823081691048553E-2</v>
      </c>
      <c r="G24" s="436"/>
      <c r="H24" s="436"/>
      <c r="I24" s="437"/>
      <c r="J24" s="437"/>
      <c r="K24" s="440"/>
      <c r="L24" s="441"/>
      <c r="M24" s="442" t="s">
        <v>255</v>
      </c>
      <c r="N24" s="442" t="s">
        <v>256</v>
      </c>
      <c r="O24" s="443" t="s">
        <v>257</v>
      </c>
      <c r="P24" s="437"/>
    </row>
    <row r="25" spans="3:16">
      <c r="C25" s="4"/>
      <c r="D25" s="444"/>
      <c r="E25" s="444"/>
      <c r="F25" s="436"/>
      <c r="G25" s="436"/>
      <c r="H25" s="436"/>
      <c r="I25" s="436"/>
      <c r="J25" s="436"/>
      <c r="K25" s="445"/>
      <c r="L25" s="203"/>
      <c r="M25" s="203"/>
      <c r="N25" s="203"/>
      <c r="O25" s="446"/>
      <c r="P25" s="436"/>
    </row>
    <row r="26" spans="3:16" ht="16.5" thickBot="1">
      <c r="C26" s="422" t="str">
        <f>"B.   Determine Return using 'R' with hypothetical "&amp;F17&amp;" basis point ROE increase for Identified Projects."</f>
        <v>B.   Determine Return using 'R' with hypothetical  basis point ROE increase for Identified Projects.</v>
      </c>
      <c r="D26" s="444"/>
      <c r="E26" s="444"/>
      <c r="F26" s="436"/>
      <c r="G26" s="436"/>
      <c r="H26" s="424"/>
      <c r="I26" s="436"/>
      <c r="J26" s="436"/>
      <c r="K26" s="447" t="s">
        <v>262</v>
      </c>
      <c r="L26" s="448">
        <f>TCOS!L4</f>
        <v>2025</v>
      </c>
      <c r="M26" s="969">
        <f>N90+N179+N268+N357+N446+N535+N624+N713</f>
        <v>5573580.3268358037</v>
      </c>
      <c r="N26" s="644">
        <f>N91+N180+N269+N358+N447+N536+N625+N714</f>
        <v>5573580.3268358037</v>
      </c>
      <c r="O26" s="449">
        <f>+N26-M26</f>
        <v>0</v>
      </c>
      <c r="P26" s="436"/>
    </row>
    <row r="27" spans="3:16">
      <c r="C27" s="426"/>
      <c r="D27" s="444"/>
      <c r="E27" s="444"/>
      <c r="F27" s="436"/>
      <c r="G27" s="436"/>
      <c r="H27" s="436"/>
      <c r="I27" s="436"/>
      <c r="J27" s="436"/>
      <c r="K27" s="450"/>
      <c r="L27" s="450"/>
      <c r="M27" s="450"/>
      <c r="N27" s="450"/>
      <c r="O27" s="450"/>
      <c r="P27" s="436"/>
    </row>
    <row r="28" spans="3:16">
      <c r="C28" s="451" t="str">
        <f>"   Rate Base  (TCOS, ln "&amp;TCOS!B131&amp;")"</f>
        <v xml:space="preserve">   Rate Base  (TCOS, ln 68)</v>
      </c>
      <c r="D28" s="424"/>
      <c r="F28" s="452">
        <f>TCOS!L131</f>
        <v>1248841644.1602726</v>
      </c>
      <c r="G28" s="436"/>
      <c r="H28" s="436"/>
      <c r="I28" s="436"/>
      <c r="J28" s="436"/>
      <c r="K28" s="450"/>
      <c r="L28" s="450"/>
      <c r="M28" s="450"/>
      <c r="N28" s="450"/>
      <c r="O28" s="453"/>
      <c r="P28" s="436"/>
    </row>
    <row r="29" spans="3:16">
      <c r="C29" s="426" t="s">
        <v>475</v>
      </c>
      <c r="D29" s="454"/>
      <c r="F29" s="434">
        <f>F24</f>
        <v>7.6823081691048553E-2</v>
      </c>
      <c r="G29" s="436"/>
      <c r="H29" s="436"/>
      <c r="I29" s="436"/>
      <c r="J29" s="436"/>
      <c r="K29" s="436"/>
      <c r="L29" s="436"/>
      <c r="M29" s="436"/>
      <c r="N29" s="436"/>
      <c r="O29" s="436"/>
      <c r="P29" s="436"/>
    </row>
    <row r="30" spans="3:16">
      <c r="C30" s="455" t="s">
        <v>263</v>
      </c>
      <c r="D30" s="455"/>
      <c r="F30" s="437">
        <f>F28*F29</f>
        <v>95939863.648508012</v>
      </c>
      <c r="G30" s="436"/>
      <c r="H30" s="436"/>
      <c r="I30" s="437"/>
      <c r="J30" s="437"/>
      <c r="K30" s="437"/>
      <c r="L30" s="437"/>
      <c r="M30" s="437"/>
      <c r="N30" s="437"/>
      <c r="O30" s="436"/>
      <c r="P30" s="437"/>
    </row>
    <row r="31" spans="3:16">
      <c r="C31" s="455"/>
      <c r="D31" s="426"/>
      <c r="E31" s="426"/>
      <c r="F31" s="436"/>
      <c r="G31" s="436"/>
      <c r="H31" s="436"/>
      <c r="I31" s="437"/>
      <c r="J31" s="437"/>
      <c r="K31" s="437"/>
      <c r="L31" s="437"/>
      <c r="M31" s="437"/>
      <c r="N31" s="437"/>
      <c r="O31" s="436"/>
      <c r="P31" s="437"/>
    </row>
    <row r="32" spans="3:16" ht="15.75">
      <c r="C32" s="422" t="str">
        <f>"C.   Determine Income Taxes using Return with hypothetical "&amp;F17&amp;" basis point ROE increase for Identified Projects."</f>
        <v>C.   Determine Income Taxes using Return with hypothetical  basis point ROE increase for Identified Projects.</v>
      </c>
      <c r="D32" s="456"/>
      <c r="E32" s="456"/>
      <c r="F32" s="457"/>
      <c r="G32" s="457"/>
      <c r="H32" s="457"/>
      <c r="I32" s="458"/>
      <c r="J32" s="458"/>
      <c r="K32" s="458"/>
      <c r="L32" s="458"/>
      <c r="M32" s="458"/>
      <c r="N32" s="458"/>
      <c r="O32" s="457"/>
      <c r="P32" s="458"/>
    </row>
    <row r="33" spans="2:16">
      <c r="C33" s="423"/>
      <c r="D33" s="426"/>
      <c r="E33" s="426"/>
      <c r="F33" s="436"/>
      <c r="G33" s="436"/>
      <c r="H33" s="436"/>
      <c r="I33" s="437"/>
      <c r="J33" s="437"/>
      <c r="K33" s="437"/>
      <c r="L33" s="437"/>
      <c r="M33" s="437"/>
      <c r="N33" s="437"/>
      <c r="O33" s="436"/>
      <c r="P33" s="437"/>
    </row>
    <row r="34" spans="2:16">
      <c r="C34" s="426" t="s">
        <v>264</v>
      </c>
      <c r="D34" s="439"/>
      <c r="F34" s="459">
        <f>F30</f>
        <v>95939863.648508012</v>
      </c>
      <c r="G34" s="436"/>
      <c r="H34" s="436"/>
      <c r="I34" s="436"/>
      <c r="J34" s="436"/>
      <c r="K34" s="436"/>
      <c r="L34" s="436"/>
      <c r="M34" s="436"/>
      <c r="N34" s="436"/>
      <c r="O34" s="436"/>
      <c r="P34" s="436"/>
    </row>
    <row r="35" spans="2:16">
      <c r="C35" s="451" t="str">
        <f>"   Effective Tax Rate  (TCOS, ln "&amp;TCOS!B198&amp;")"</f>
        <v xml:space="preserve">   Effective Tax Rate  (TCOS, ln 114)</v>
      </c>
      <c r="D35" s="82"/>
      <c r="F35" s="84">
        <f>TCOS!G198</f>
        <v>0.23962406081794621</v>
      </c>
      <c r="G35" s="4"/>
      <c r="H35" s="460"/>
      <c r="I35" s="4"/>
      <c r="J35" s="4"/>
      <c r="K35" s="4"/>
      <c r="L35" s="4"/>
      <c r="M35" s="4"/>
      <c r="N35" s="4"/>
      <c r="O35" s="4"/>
    </row>
    <row r="36" spans="2:16">
      <c r="C36" s="455" t="s">
        <v>265</v>
      </c>
      <c r="D36" s="82"/>
      <c r="F36" s="461">
        <f>F34*F35</f>
        <v>22989499.72177555</v>
      </c>
      <c r="G36" s="4"/>
      <c r="H36" s="460"/>
      <c r="I36" s="4"/>
      <c r="J36" s="4"/>
      <c r="K36" s="4"/>
      <c r="L36" s="4"/>
      <c r="M36" s="4"/>
      <c r="N36" s="4"/>
      <c r="O36" s="4"/>
    </row>
    <row r="37" spans="2:16" ht="15">
      <c r="C37" s="423" t="s">
        <v>303</v>
      </c>
      <c r="D37" s="257"/>
      <c r="F37" s="436">
        <f>TCOS!L207</f>
        <v>-273948.7231835401</v>
      </c>
      <c r="G37" s="257"/>
      <c r="H37" s="257"/>
      <c r="I37" s="257"/>
      <c r="J37" s="257"/>
      <c r="K37" s="257"/>
      <c r="L37" s="257"/>
      <c r="M37" s="257"/>
      <c r="N37" s="257"/>
      <c r="O37" s="271"/>
      <c r="P37" s="257"/>
    </row>
    <row r="38" spans="2:16" ht="15">
      <c r="C38" s="423" t="s">
        <v>534</v>
      </c>
      <c r="D38" s="257"/>
      <c r="F38" s="436">
        <f>TCOS!L208</f>
        <v>-4171902.6113050361</v>
      </c>
      <c r="G38" s="257"/>
      <c r="H38" s="257"/>
      <c r="I38" s="257"/>
      <c r="J38" s="257"/>
      <c r="K38" s="257"/>
      <c r="L38" s="257"/>
      <c r="M38" s="257"/>
      <c r="N38" s="257"/>
      <c r="O38" s="271"/>
      <c r="P38" s="257"/>
    </row>
    <row r="39" spans="2:16" ht="15">
      <c r="C39" s="423" t="s">
        <v>535</v>
      </c>
      <c r="D39" s="257"/>
      <c r="F39" s="462">
        <f>TCOS!L209</f>
        <v>2679549.9724714765</v>
      </c>
      <c r="G39" s="257"/>
      <c r="H39" s="257"/>
      <c r="I39" s="257"/>
      <c r="J39" s="257"/>
      <c r="K39" s="257"/>
      <c r="L39" s="257"/>
      <c r="M39" s="257"/>
      <c r="N39" s="257"/>
      <c r="O39" s="271"/>
      <c r="P39" s="257"/>
    </row>
    <row r="40" spans="2:16" ht="15">
      <c r="C40" s="455" t="s">
        <v>266</v>
      </c>
      <c r="D40" s="257"/>
      <c r="F40" s="436">
        <f>F36+F37+F38+F39</f>
        <v>21223198.359758452</v>
      </c>
      <c r="G40" s="257"/>
      <c r="H40" s="257"/>
      <c r="I40" s="257"/>
      <c r="J40" s="257"/>
      <c r="K40" s="257"/>
      <c r="L40" s="257"/>
      <c r="M40" s="257"/>
      <c r="N40" s="257"/>
      <c r="O40" s="270"/>
      <c r="P40" s="257"/>
    </row>
    <row r="41" spans="2:16" ht="12.75" customHeight="1">
      <c r="C41" s="254"/>
      <c r="D41" s="257"/>
      <c r="E41" s="257"/>
      <c r="F41" s="257"/>
      <c r="G41" s="257"/>
      <c r="H41" s="257"/>
      <c r="I41" s="257"/>
      <c r="J41" s="257"/>
      <c r="K41" s="257"/>
      <c r="L41" s="257"/>
      <c r="M41" s="257"/>
      <c r="N41" s="257"/>
      <c r="O41" s="270"/>
      <c r="P41" s="257"/>
    </row>
    <row r="42" spans="2:16" ht="18.75">
      <c r="B42" s="421" t="s">
        <v>173</v>
      </c>
      <c r="C42" s="13" t="str">
        <f>"Calculate Net Plant Carrying Charge Rate (Fixed Charge Rate or FCR) with hypothetical "&amp;F17&amp;""</f>
        <v xml:space="preserve">Calculate Net Plant Carrying Charge Rate (Fixed Charge Rate or FCR) with hypothetical </v>
      </c>
      <c r="D42" s="257"/>
      <c r="E42" s="257"/>
      <c r="F42" s="257"/>
      <c r="G42" s="257"/>
      <c r="H42" s="257"/>
      <c r="I42" s="257"/>
      <c r="J42" s="257"/>
      <c r="K42" s="257"/>
      <c r="L42" s="257"/>
      <c r="M42" s="257"/>
      <c r="N42" s="257"/>
      <c r="O42" s="270"/>
      <c r="P42" s="257"/>
    </row>
    <row r="43" spans="2:16" ht="18.75" customHeight="1">
      <c r="C43" s="13" t="str">
        <f>"basis point ROE increase."</f>
        <v>basis point ROE increase.</v>
      </c>
      <c r="D43" s="257"/>
      <c r="E43" s="257"/>
      <c r="F43" s="257"/>
      <c r="G43" s="257"/>
      <c r="H43" s="257"/>
      <c r="I43" s="257"/>
      <c r="J43" s="257"/>
      <c r="K43" s="257"/>
      <c r="L43" s="257"/>
      <c r="M43" s="257"/>
      <c r="N43" s="257"/>
      <c r="O43" s="270"/>
      <c r="P43" s="257"/>
    </row>
    <row r="44" spans="2:16" ht="12.75" customHeight="1">
      <c r="C44" s="13"/>
      <c r="D44" s="257"/>
      <c r="E44" s="257"/>
      <c r="F44" s="257"/>
      <c r="G44" s="257"/>
      <c r="H44" s="257"/>
      <c r="I44" s="257"/>
      <c r="J44" s="257"/>
      <c r="K44" s="257"/>
      <c r="L44" s="257"/>
      <c r="M44" s="257"/>
      <c r="N44" s="257"/>
      <c r="O44" s="270"/>
      <c r="P44" s="257"/>
    </row>
    <row r="45" spans="2:16" ht="15.75">
      <c r="C45" s="422" t="s">
        <v>466</v>
      </c>
      <c r="D45" s="257"/>
      <c r="E45" s="257"/>
      <c r="F45" s="254"/>
      <c r="G45" s="257"/>
      <c r="H45" s="257"/>
      <c r="I45" s="257"/>
      <c r="J45" s="257"/>
      <c r="K45" s="257"/>
      <c r="L45" s="257"/>
      <c r="M45" s="257"/>
      <c r="N45" s="257"/>
      <c r="O45" s="270"/>
      <c r="P45" s="257"/>
    </row>
    <row r="46" spans="2:16">
      <c r="B46" s="4"/>
      <c r="C46" s="423"/>
      <c r="D46" s="424"/>
      <c r="E46" s="424"/>
      <c r="F46" s="424"/>
      <c r="G46" s="424"/>
      <c r="H46" s="424"/>
      <c r="I46" s="424"/>
      <c r="J46" s="424"/>
      <c r="K46" s="424"/>
      <c r="L46" s="424"/>
      <c r="M46" s="424"/>
      <c r="N46" s="424"/>
      <c r="O46" s="436"/>
      <c r="P46" s="424"/>
    </row>
    <row r="47" spans="2:16" ht="12.75" customHeight="1">
      <c r="B47" s="4"/>
      <c r="C47" s="451" t="str">
        <f>"   Annual Revenue Requirement  (TCOS, ln "&amp;TCOS!B13&amp;")"</f>
        <v xml:space="preserve">   Annual Revenue Requirement  (TCOS, ln 1)</v>
      </c>
      <c r="D47" s="424"/>
      <c r="E47" s="424"/>
      <c r="G47" s="436">
        <f>TCOS!L13</f>
        <v>212983503.33507404</v>
      </c>
      <c r="H47" s="424"/>
      <c r="I47" s="424"/>
      <c r="J47" s="424"/>
      <c r="K47" s="424"/>
      <c r="L47" s="424"/>
      <c r="M47" s="424"/>
      <c r="N47" s="424"/>
      <c r="O47" s="436"/>
      <c r="P47" s="424"/>
    </row>
    <row r="48" spans="2:16" ht="12.75" customHeight="1">
      <c r="B48" s="4"/>
      <c r="C48" s="451" t="str">
        <f>"   Lease Payments (TCOS, Ln "&amp;TCOS!B175&amp;")"</f>
        <v xml:space="preserve">   Lease Payments (TCOS, Ln 95)</v>
      </c>
      <c r="D48" s="424"/>
      <c r="E48" s="424"/>
      <c r="G48" s="436">
        <f>TCOS!L175</f>
        <v>0</v>
      </c>
      <c r="H48" s="424"/>
      <c r="I48" s="424"/>
      <c r="J48" s="424"/>
      <c r="K48" s="424"/>
      <c r="L48" s="424"/>
      <c r="M48" s="424"/>
      <c r="N48" s="424"/>
      <c r="O48" s="436"/>
      <c r="P48" s="424"/>
    </row>
    <row r="49" spans="2:16">
      <c r="B49" s="4"/>
      <c r="C49" s="451" t="str">
        <f>"   Return  (TCOS, ln "&amp;TCOS!B213&amp;")"</f>
        <v xml:space="preserve">   Return  (TCOS, ln 126)</v>
      </c>
      <c r="D49" s="424"/>
      <c r="E49" s="424"/>
      <c r="G49" s="437">
        <f>TCOS!L213</f>
        <v>95939863.648508012</v>
      </c>
      <c r="H49" s="423"/>
      <c r="I49" s="423"/>
      <c r="J49" s="423"/>
      <c r="K49" s="423"/>
      <c r="L49" s="423"/>
      <c r="M49" s="423"/>
      <c r="N49" s="423"/>
      <c r="O49" s="436"/>
      <c r="P49" s="423"/>
    </row>
    <row r="50" spans="2:16">
      <c r="B50" s="4"/>
      <c r="C50" s="451" t="str">
        <f>"   Income Taxes  (TCOS, ln "&amp;TCOS!B211&amp;")"</f>
        <v xml:space="preserve">   Income Taxes  (TCOS, ln 125)</v>
      </c>
      <c r="D50" s="424"/>
      <c r="E50" s="424"/>
      <c r="G50" s="463">
        <f>TCOS!L211</f>
        <v>21223198.359758452</v>
      </c>
      <c r="H50" s="424"/>
      <c r="I50" s="464"/>
      <c r="J50" s="464"/>
      <c r="K50" s="464"/>
      <c r="L50" s="464"/>
      <c r="M50" s="464"/>
      <c r="N50" s="464"/>
      <c r="O50" s="424"/>
      <c r="P50" s="464"/>
    </row>
    <row r="51" spans="2:16">
      <c r="B51" s="4"/>
      <c r="C51" s="4" t="s">
        <v>591</v>
      </c>
      <c r="D51" s="424"/>
      <c r="E51" s="424"/>
      <c r="G51" s="437">
        <f>G47-G49-G50-G48</f>
        <v>95820441.326807573</v>
      </c>
      <c r="H51" s="424"/>
      <c r="I51" s="465"/>
      <c r="J51" s="465"/>
      <c r="K51" s="465"/>
      <c r="L51" s="465"/>
      <c r="M51" s="465"/>
      <c r="N51" s="465"/>
      <c r="O51" s="465"/>
      <c r="P51" s="465"/>
    </row>
    <row r="52" spans="2:16">
      <c r="B52" s="4"/>
      <c r="C52" s="423"/>
      <c r="D52" s="424"/>
      <c r="E52" s="424"/>
      <c r="F52" s="436"/>
      <c r="G52" s="466"/>
      <c r="H52" s="467"/>
      <c r="I52" s="467"/>
      <c r="J52" s="467"/>
      <c r="K52" s="467"/>
      <c r="L52" s="467"/>
      <c r="M52" s="467"/>
      <c r="N52" s="467"/>
      <c r="O52" s="467"/>
      <c r="P52" s="467"/>
    </row>
    <row r="53" spans="2:16" ht="15.75">
      <c r="B53" s="4"/>
      <c r="C53" s="422" t="str">
        <f>"B.   Determine Annual Revenue Requirement with hypothetical "&amp;F17&amp;" basis point increase in ROE."</f>
        <v>B.   Determine Annual Revenue Requirement with hypothetical  basis point increase in ROE.</v>
      </c>
      <c r="D53" s="426"/>
      <c r="E53" s="426"/>
      <c r="F53" s="436"/>
      <c r="G53" s="466"/>
      <c r="H53" s="467"/>
      <c r="I53" s="467"/>
      <c r="J53" s="467"/>
      <c r="K53" s="467"/>
      <c r="L53" s="467"/>
      <c r="M53" s="467"/>
      <c r="N53" s="467"/>
      <c r="O53" s="467"/>
      <c r="P53" s="467"/>
    </row>
    <row r="54" spans="2:16">
      <c r="B54" s="4"/>
      <c r="C54" s="423"/>
      <c r="D54" s="426"/>
      <c r="E54" s="426"/>
      <c r="F54" s="436"/>
      <c r="G54" s="466"/>
      <c r="H54" s="467"/>
      <c r="I54" s="467"/>
      <c r="J54" s="467"/>
      <c r="K54" s="467"/>
      <c r="L54" s="467"/>
      <c r="M54" s="467"/>
      <c r="N54" s="467"/>
      <c r="O54" s="467"/>
      <c r="P54" s="467"/>
    </row>
    <row r="55" spans="2:16">
      <c r="B55" s="4"/>
      <c r="C55" s="423" t="str">
        <f>C51</f>
        <v xml:space="preserve">   Annual Revenue Requirement, Less Lease Payments, Return and Taxes</v>
      </c>
      <c r="D55" s="426"/>
      <c r="E55" s="426"/>
      <c r="G55" s="436">
        <f>G51</f>
        <v>95820441.326807573</v>
      </c>
      <c r="H55" s="424"/>
      <c r="I55" s="424"/>
      <c r="J55" s="424"/>
      <c r="K55" s="424"/>
      <c r="L55" s="424"/>
      <c r="M55" s="424"/>
      <c r="N55" s="424"/>
      <c r="O55" s="468"/>
      <c r="P55" s="424"/>
    </row>
    <row r="56" spans="2:16">
      <c r="B56" s="4"/>
      <c r="C56" s="426" t="s">
        <v>300</v>
      </c>
      <c r="D56" s="82"/>
      <c r="E56" s="4"/>
      <c r="G56" s="461">
        <f>F30</f>
        <v>95939863.648508012</v>
      </c>
      <c r="H56" s="469"/>
      <c r="I56" s="4"/>
      <c r="J56" s="4"/>
      <c r="K56" s="4"/>
      <c r="L56" s="4"/>
      <c r="M56" s="4"/>
      <c r="N56" s="4"/>
      <c r="O56" s="4"/>
    </row>
    <row r="57" spans="2:16" ht="12.75" customHeight="1">
      <c r="B57" s="4"/>
      <c r="C57" s="423" t="s">
        <v>267</v>
      </c>
      <c r="D57" s="424"/>
      <c r="E57" s="424"/>
      <c r="G57" s="463">
        <f>F40</f>
        <v>21223198.359758452</v>
      </c>
      <c r="H57" s="460"/>
      <c r="I57" s="4"/>
      <c r="J57" s="4"/>
      <c r="K57" s="4"/>
      <c r="L57" s="4"/>
      <c r="M57" s="4"/>
      <c r="N57" s="4"/>
      <c r="O57" s="4"/>
    </row>
    <row r="58" spans="2:16">
      <c r="B58" s="4"/>
      <c r="C58" s="4" t="str">
        <f>"   Annual Revenue Requirement, with "&amp;F17&amp;" Basis Point ROE increase"</f>
        <v xml:space="preserve">   Annual Revenue Requirement, with  Basis Point ROE increase</v>
      </c>
      <c r="D58" s="82"/>
      <c r="E58" s="4"/>
      <c r="G58" s="461">
        <f>SUM(G55:G57)</f>
        <v>212983503.33507401</v>
      </c>
      <c r="H58" s="460"/>
      <c r="I58" s="4"/>
      <c r="J58" s="4"/>
      <c r="K58" s="4"/>
      <c r="L58" s="4"/>
      <c r="M58" s="4"/>
      <c r="N58" s="4"/>
      <c r="O58" s="4"/>
    </row>
    <row r="59" spans="2:16">
      <c r="B59" s="4"/>
      <c r="C59" s="451" t="str">
        <f>"   Depreciation  (TCOS, ln "&amp;TCOS!B181&amp;")"</f>
        <v xml:space="preserve">   Depreciation  (TCOS, ln 100)</v>
      </c>
      <c r="D59" s="82"/>
      <c r="E59" s="4"/>
      <c r="G59" s="470">
        <f>TCOS!L181</f>
        <v>51424831.307783537</v>
      </c>
      <c r="H59" s="460"/>
      <c r="I59" s="4"/>
      <c r="J59" s="4"/>
      <c r="K59" s="4"/>
      <c r="L59" s="4"/>
      <c r="M59" s="4"/>
      <c r="N59" s="4"/>
      <c r="O59" s="4"/>
    </row>
    <row r="60" spans="2:16">
      <c r="B60" s="4"/>
      <c r="C60" s="4" t="str">
        <f>"   Annual Rev. Req, w/"&amp;F17&amp;" Basis Point ROE increase, less Depreciation"</f>
        <v xml:space="preserve">   Annual Rev. Req, w/ Basis Point ROE increase, less Depreciation</v>
      </c>
      <c r="D60" s="82"/>
      <c r="E60" s="4"/>
      <c r="G60" s="461">
        <f>G58-G59</f>
        <v>161558672.02729046</v>
      </c>
      <c r="H60" s="460"/>
      <c r="I60" s="4"/>
      <c r="J60" s="4"/>
      <c r="K60" s="4"/>
      <c r="L60" s="4"/>
      <c r="M60" s="4"/>
      <c r="N60" s="4"/>
      <c r="O60" s="4"/>
    </row>
    <row r="61" spans="2:16">
      <c r="B61" s="4"/>
      <c r="C61" s="4"/>
      <c r="D61" s="82"/>
      <c r="E61" s="4"/>
      <c r="F61" s="4"/>
      <c r="G61" s="4"/>
      <c r="H61" s="460"/>
      <c r="I61" s="4"/>
      <c r="J61" s="4"/>
      <c r="K61" s="4"/>
      <c r="L61" s="4"/>
      <c r="M61" s="4"/>
      <c r="N61" s="4"/>
      <c r="O61" s="4"/>
    </row>
    <row r="62" spans="2:16" ht="15.75">
      <c r="B62" s="4"/>
      <c r="C62" s="422" t="str">
        <f>"C.   Determine FCR with hypothetical "&amp;F17&amp;" basis point ROE increase."</f>
        <v>C.   Determine FCR with hypothetical  basis point ROE increase.</v>
      </c>
      <c r="D62" s="82"/>
      <c r="E62" s="4"/>
      <c r="F62" s="4"/>
      <c r="G62" s="4"/>
      <c r="H62" s="460"/>
      <c r="I62" s="4"/>
      <c r="J62" s="4"/>
      <c r="K62" s="4"/>
      <c r="L62" s="4"/>
      <c r="M62" s="4"/>
      <c r="N62" s="4"/>
      <c r="O62" s="4"/>
    </row>
    <row r="63" spans="2:16">
      <c r="B63" s="4"/>
      <c r="C63" s="4"/>
      <c r="D63" s="82"/>
      <c r="E63" s="4"/>
      <c r="F63" s="4"/>
      <c r="G63" s="4"/>
      <c r="H63" s="460"/>
      <c r="I63" s="4"/>
      <c r="J63" s="4"/>
      <c r="K63" s="4"/>
      <c r="L63" s="4"/>
      <c r="M63" s="4"/>
      <c r="N63" s="4"/>
      <c r="O63" s="4"/>
    </row>
    <row r="64" spans="2:16">
      <c r="B64" s="4"/>
      <c r="C64" s="451" t="str">
        <f>"   Net Transmission Plant  (TCOS, ln "&amp;TCOS!B95&amp;")"</f>
        <v xml:space="preserve">   Net Transmission Plant  (TCOS, ln 42)</v>
      </c>
      <c r="D64" s="82"/>
      <c r="E64" s="4"/>
      <c r="G64" s="461">
        <f>TCOS!L95</f>
        <v>1454321112.3938463</v>
      </c>
      <c r="H64" s="471"/>
      <c r="I64" s="4"/>
      <c r="J64" s="4"/>
      <c r="K64" s="4"/>
      <c r="L64" s="4"/>
      <c r="M64" s="4"/>
      <c r="N64" s="4"/>
      <c r="O64" s="4"/>
    </row>
    <row r="65" spans="2:15">
      <c r="B65" s="4"/>
      <c r="C65" s="4" t="str">
        <f>"   Annual Revenue Requirement, with "&amp;F17&amp;" Basis Point ROE increase"</f>
        <v xml:space="preserve">   Annual Revenue Requirement, with  Basis Point ROE increase</v>
      </c>
      <c r="D65" s="82"/>
      <c r="E65" s="4"/>
      <c r="G65" s="461">
        <f>G58</f>
        <v>212983503.33507401</v>
      </c>
      <c r="H65" s="460"/>
      <c r="I65" s="4"/>
      <c r="J65" s="4"/>
      <c r="K65" s="4"/>
      <c r="L65" s="4"/>
      <c r="M65" s="4"/>
      <c r="N65" s="4"/>
      <c r="O65" s="4"/>
    </row>
    <row r="66" spans="2:15">
      <c r="B66" s="4"/>
      <c r="C66" s="4" t="str">
        <f>"   FCR with "&amp;F17&amp;" Basis Point increase in ROE"</f>
        <v xml:space="preserve">   FCR with  Basis Point increase in ROE</v>
      </c>
      <c r="D66" s="82"/>
      <c r="E66" s="4"/>
      <c r="G66" s="84">
        <f>G65/G64</f>
        <v>0.14644874609878847</v>
      </c>
      <c r="H66" s="460"/>
      <c r="I66" s="4"/>
      <c r="J66" s="4"/>
      <c r="K66" s="4"/>
      <c r="L66" s="4"/>
      <c r="M66" s="4"/>
      <c r="N66" s="4"/>
      <c r="O66" s="4"/>
    </row>
    <row r="67" spans="2:15">
      <c r="B67" s="4"/>
      <c r="C67" s="72"/>
      <c r="D67" s="82"/>
      <c r="E67" s="4"/>
      <c r="G67" s="4"/>
      <c r="H67" s="460"/>
      <c r="I67" s="4"/>
      <c r="J67" s="4"/>
      <c r="K67" s="4"/>
      <c r="L67" s="4"/>
      <c r="M67" s="4"/>
      <c r="N67" s="4"/>
      <c r="O67" s="4"/>
    </row>
    <row r="68" spans="2:15">
      <c r="B68" s="4"/>
      <c r="C68" s="4" t="str">
        <f>"   Annual Rev. Req, w / "&amp;F17&amp;" Basis Point ROE increase, less Dep."</f>
        <v xml:space="preserve">   Annual Rev. Req, w /  Basis Point ROE increase, less Dep.</v>
      </c>
      <c r="D68" s="82"/>
      <c r="E68" s="4"/>
      <c r="G68" s="461">
        <f>G60</f>
        <v>161558672.02729046</v>
      </c>
      <c r="H68" s="460"/>
      <c r="I68" s="4"/>
      <c r="J68" s="4"/>
      <c r="K68" s="4"/>
      <c r="L68" s="4"/>
      <c r="M68" s="4"/>
      <c r="N68" s="4"/>
      <c r="O68" s="4"/>
    </row>
    <row r="69" spans="2:15">
      <c r="B69" s="4"/>
      <c r="C69" s="4" t="str">
        <f>"   FCR with "&amp;F17&amp;" Basis Point ROE increase, less Depreciation"</f>
        <v xml:space="preserve">   FCR with  Basis Point ROE increase, less Depreciation</v>
      </c>
      <c r="D69" s="82"/>
      <c r="E69" s="4"/>
      <c r="G69" s="84">
        <f>G68/G64</f>
        <v>0.11108872081308174</v>
      </c>
      <c r="H69" s="460"/>
      <c r="I69" s="4"/>
      <c r="J69" s="4"/>
      <c r="K69" s="4"/>
      <c r="L69" s="4"/>
      <c r="M69" s="4"/>
      <c r="N69" s="4"/>
      <c r="O69" s="4"/>
    </row>
    <row r="70" spans="2:15">
      <c r="B70" s="4"/>
      <c r="C70" s="451" t="str">
        <f>"   FCR less Depreciation  (TCOS, ln "&amp;TCOS!B34&amp;")"</f>
        <v xml:space="preserve">   FCR less Depreciation  (TCOS, ln 10)</v>
      </c>
      <c r="D70" s="82"/>
      <c r="E70" s="4"/>
      <c r="G70" s="472">
        <f>TCOS!L34</f>
        <v>0.11108872081308177</v>
      </c>
      <c r="H70" s="460"/>
      <c r="I70" s="4"/>
      <c r="J70" s="4"/>
      <c r="K70" s="4"/>
      <c r="L70" s="4"/>
      <c r="M70" s="4"/>
      <c r="N70" s="4"/>
      <c r="O70" s="4"/>
    </row>
    <row r="71" spans="2:15">
      <c r="B71" s="4"/>
      <c r="C71" s="4" t="str">
        <f>"   Incremental FCR with "&amp;F17&amp;" Basis Point ROE increase, less Depreciation"</f>
        <v xml:space="preserve">   Incremental FCR with  Basis Point ROE increase, less Depreciation</v>
      </c>
      <c r="D71" s="82"/>
      <c r="E71" s="4"/>
      <c r="G71" s="84">
        <f>G69-G70</f>
        <v>0</v>
      </c>
      <c r="H71" s="460"/>
      <c r="I71" s="4"/>
      <c r="J71" s="4"/>
      <c r="K71" s="4"/>
      <c r="L71" s="4"/>
      <c r="M71" s="4"/>
      <c r="N71" s="4"/>
      <c r="O71" s="4"/>
    </row>
    <row r="72" spans="2:15">
      <c r="B72" s="4"/>
      <c r="C72" s="4"/>
      <c r="D72" s="82"/>
      <c r="E72" s="4"/>
      <c r="F72" s="84"/>
      <c r="G72" s="4"/>
      <c r="H72" s="460"/>
      <c r="I72" s="4"/>
      <c r="J72" s="4"/>
      <c r="K72" s="4"/>
      <c r="L72" s="4"/>
      <c r="M72" s="4"/>
      <c r="N72" s="4"/>
      <c r="O72" s="4"/>
    </row>
    <row r="73" spans="2:15" ht="18.75">
      <c r="B73" s="421" t="s">
        <v>174</v>
      </c>
      <c r="C73" s="13" t="s">
        <v>268</v>
      </c>
      <c r="D73" s="82"/>
      <c r="E73" s="4"/>
      <c r="F73" s="84"/>
      <c r="G73" s="4"/>
      <c r="H73" s="460"/>
      <c r="I73" s="4"/>
      <c r="J73" s="4"/>
      <c r="K73" s="4"/>
      <c r="L73" s="4"/>
      <c r="M73" s="4"/>
      <c r="N73" s="4"/>
      <c r="O73" s="4"/>
    </row>
    <row r="74" spans="2:15">
      <c r="B74" s="4"/>
      <c r="C74" s="4"/>
      <c r="D74" s="82"/>
      <c r="E74" s="4"/>
      <c r="F74" s="84"/>
      <c r="G74" s="4"/>
      <c r="H74" s="460"/>
      <c r="I74" s="4"/>
      <c r="J74" s="4"/>
      <c r="K74" s="4"/>
      <c r="L74" s="4"/>
      <c r="M74" s="4"/>
      <c r="N74" s="4"/>
      <c r="O74" s="4"/>
    </row>
    <row r="75" spans="2:15">
      <c r="B75" s="4"/>
      <c r="C75" s="4" t="str">
        <f>+"Average Transmission Plant Balance for "&amp;TCOS!L4&amp;" (TCOS, ln "&amp;TCOS!B68&amp;")"</f>
        <v>Average Transmission Plant Balance for 2025 (TCOS, ln 21)</v>
      </c>
      <c r="D75" s="82"/>
      <c r="G75" s="460">
        <f>TCOS!L68</f>
        <v>1934473695.2738461</v>
      </c>
      <c r="I75" s="4"/>
      <c r="J75" s="4"/>
      <c r="K75" s="475"/>
      <c r="L75" s="4"/>
      <c r="M75" s="4"/>
      <c r="N75" s="4"/>
      <c r="O75" s="4"/>
    </row>
    <row r="76" spans="2:15">
      <c r="B76" s="4"/>
      <c r="C76" s="473" t="str">
        <f>"Annual Depreciation and Amortization Expense  (TCOS, ln "&amp;TCOS!B181&amp;")"</f>
        <v>Annual Depreciation and Amortization Expense  (TCOS, ln 100)</v>
      </c>
      <c r="D76" s="82"/>
      <c r="E76" s="4"/>
      <c r="G76" s="474">
        <f>TCOS!L181</f>
        <v>51424831.307783537</v>
      </c>
      <c r="H76" s="460"/>
      <c r="I76" s="4"/>
      <c r="J76" s="4"/>
      <c r="K76" s="4"/>
      <c r="L76" s="4"/>
      <c r="M76" s="4"/>
      <c r="N76" s="4"/>
      <c r="O76" s="4"/>
    </row>
    <row r="77" spans="2:15">
      <c r="B77" s="4"/>
      <c r="C77" s="4" t="s">
        <v>269</v>
      </c>
      <c r="D77" s="82"/>
      <c r="E77" s="4"/>
      <c r="G77" s="84">
        <f>+G76/G75</f>
        <v>2.6583370677730402E-2</v>
      </c>
      <c r="H77" s="476"/>
      <c r="I77" s="4"/>
      <c r="J77" s="4"/>
      <c r="K77" s="4"/>
      <c r="L77" s="4"/>
      <c r="M77" s="4"/>
      <c r="N77" s="4"/>
      <c r="O77" s="4"/>
    </row>
    <row r="78" spans="2:15">
      <c r="B78" s="4"/>
      <c r="C78" s="4" t="s">
        <v>270</v>
      </c>
      <c r="D78" s="82"/>
      <c r="E78" s="4"/>
      <c r="G78" s="476">
        <f>1/G77</f>
        <v>37.61750201368281</v>
      </c>
      <c r="H78" s="460"/>
      <c r="I78" s="4"/>
      <c r="J78" s="4"/>
      <c r="K78" s="4"/>
      <c r="L78" s="4"/>
      <c r="M78" s="4"/>
      <c r="N78" s="4"/>
      <c r="O78" s="4"/>
    </row>
    <row r="79" spans="2:15">
      <c r="B79" s="4"/>
      <c r="C79" s="4" t="s">
        <v>271</v>
      </c>
      <c r="D79" s="82"/>
      <c r="E79" s="4"/>
      <c r="G79" s="477">
        <f>ROUND(G78,0)</f>
        <v>38</v>
      </c>
      <c r="H79" s="460"/>
      <c r="I79" s="4"/>
      <c r="J79" s="4"/>
      <c r="K79" s="4"/>
      <c r="L79" s="4"/>
      <c r="M79" s="4"/>
      <c r="N79" s="4"/>
      <c r="O79" s="4"/>
    </row>
    <row r="80" spans="2:15">
      <c r="B80" s="4"/>
      <c r="C80" s="4"/>
      <c r="D80" s="82"/>
      <c r="E80" s="4"/>
      <c r="G80" s="477"/>
      <c r="H80" s="460"/>
      <c r="I80" s="4"/>
      <c r="J80" s="4"/>
      <c r="K80" s="4"/>
      <c r="L80" s="4"/>
      <c r="M80" s="4"/>
      <c r="N80" s="4"/>
      <c r="O80" s="4"/>
    </row>
    <row r="81" spans="1:16">
      <c r="C81" s="478"/>
      <c r="D81" s="477"/>
      <c r="E81" s="477"/>
      <c r="F81" s="477"/>
      <c r="G81" s="475"/>
      <c r="H81" s="475"/>
      <c r="I81" s="479"/>
      <c r="J81" s="479"/>
      <c r="K81" s="479"/>
      <c r="L81" s="479"/>
      <c r="M81" s="479"/>
      <c r="N81" s="479"/>
      <c r="O81" s="4"/>
      <c r="P81" s="479"/>
    </row>
    <row r="84" spans="1:16" ht="20.25">
      <c r="A84" s="419" t="s">
        <v>928</v>
      </c>
      <c r="B84" s="4"/>
      <c r="C84" s="4"/>
      <c r="D84" s="82"/>
      <c r="E84" s="4"/>
      <c r="F84" s="84"/>
      <c r="G84" s="4"/>
      <c r="H84" s="935"/>
      <c r="K84" s="11"/>
      <c r="L84" s="11"/>
      <c r="M84" s="11"/>
      <c r="N84" s="11" t="str">
        <f>"Page "&amp;P84&amp;" of "</f>
        <v xml:space="preserve">Page 2 of </v>
      </c>
      <c r="O84" s="420">
        <f>COUNT(P$6:P$59527)</f>
        <v>9</v>
      </c>
      <c r="P84" s="473">
        <v>2</v>
      </c>
    </row>
    <row r="85" spans="1:16">
      <c r="B85" s="4"/>
      <c r="C85" s="4"/>
      <c r="D85" s="82"/>
      <c r="E85" s="4"/>
      <c r="F85" s="4"/>
      <c r="G85" s="4"/>
      <c r="H85" s="935"/>
      <c r="I85" s="4"/>
      <c r="J85" s="4"/>
      <c r="K85" s="4"/>
      <c r="L85" s="4"/>
      <c r="M85" s="4"/>
      <c r="N85" s="4"/>
      <c r="O85" s="4"/>
    </row>
    <row r="86" spans="1:16" ht="18">
      <c r="B86" s="421" t="s">
        <v>175</v>
      </c>
      <c r="C86" s="480" t="s">
        <v>291</v>
      </c>
      <c r="D86" s="82"/>
      <c r="E86" s="4"/>
      <c r="F86" s="4"/>
      <c r="G86" s="4"/>
      <c r="H86" s="935"/>
      <c r="I86" s="935"/>
      <c r="J86" s="936"/>
      <c r="K86" s="935"/>
      <c r="L86" s="935"/>
      <c r="M86" s="935"/>
      <c r="N86" s="935"/>
      <c r="O86" s="4"/>
      <c r="P86" s="936"/>
    </row>
    <row r="87" spans="1:16" ht="18.75">
      <c r="B87" s="421"/>
      <c r="C87" s="13"/>
      <c r="D87" s="82"/>
      <c r="E87" s="4"/>
      <c r="F87" s="4"/>
      <c r="G87" s="4"/>
      <c r="H87" s="935"/>
      <c r="I87" s="935"/>
      <c r="J87" s="936"/>
      <c r="K87" s="935"/>
      <c r="L87" s="935"/>
      <c r="M87" s="935"/>
      <c r="N87" s="935"/>
      <c r="O87" s="4"/>
      <c r="P87" s="936"/>
    </row>
    <row r="88" spans="1:16" ht="20.25" customHeight="1">
      <c r="B88" s="421"/>
      <c r="C88" s="13" t="s">
        <v>292</v>
      </c>
      <c r="D88" s="82"/>
      <c r="E88" s="4"/>
      <c r="F88" s="4"/>
      <c r="G88" s="4"/>
      <c r="H88" s="935"/>
      <c r="I88" s="935"/>
      <c r="J88" s="936"/>
      <c r="K88" s="935"/>
      <c r="L88" s="935"/>
      <c r="M88" s="935"/>
      <c r="N88" s="935"/>
      <c r="O88" s="4"/>
      <c r="P88" s="936"/>
    </row>
    <row r="89" spans="1:16" ht="15.75" thickBot="1">
      <c r="C89" s="254"/>
      <c r="D89" s="82"/>
      <c r="E89" s="4"/>
      <c r="F89" s="4"/>
      <c r="G89" s="4"/>
      <c r="H89" s="935"/>
      <c r="I89" s="935"/>
      <c r="J89" s="936"/>
      <c r="K89" s="935"/>
      <c r="L89" s="935"/>
      <c r="M89" s="935"/>
      <c r="N89" s="935"/>
      <c r="O89" s="4"/>
      <c r="P89" s="936"/>
    </row>
    <row r="90" spans="1:16" ht="15.75">
      <c r="C90" s="422" t="s">
        <v>293</v>
      </c>
      <c r="D90" s="82"/>
      <c r="E90" s="4"/>
      <c r="F90" s="4"/>
      <c r="G90" s="937"/>
      <c r="H90" s="4" t="s">
        <v>272</v>
      </c>
      <c r="I90" s="4"/>
      <c r="J90" s="4"/>
      <c r="K90" s="481" t="s">
        <v>297</v>
      </c>
      <c r="L90" s="482"/>
      <c r="M90" s="483"/>
      <c r="N90" s="938">
        <f>VLOOKUP(I96,C103:O162,5)</f>
        <v>925096.60010634083</v>
      </c>
      <c r="O90" s="4"/>
    </row>
    <row r="91" spans="1:16" ht="15.75">
      <c r="C91" s="422"/>
      <c r="D91" s="82"/>
      <c r="E91" s="4"/>
      <c r="F91" s="4"/>
      <c r="G91" s="4"/>
      <c r="H91" s="939"/>
      <c r="I91" s="939"/>
      <c r="J91" s="940"/>
      <c r="K91" s="486" t="s">
        <v>298</v>
      </c>
      <c r="L91" s="941"/>
      <c r="M91" s="4"/>
      <c r="N91" s="942">
        <f>VLOOKUP(I96,C103:O162,6)</f>
        <v>925096.60010634083</v>
      </c>
      <c r="O91" s="4"/>
      <c r="P91" s="940"/>
    </row>
    <row r="92" spans="1:16" ht="13.5" thickBot="1">
      <c r="C92" s="487" t="s">
        <v>294</v>
      </c>
      <c r="D92" s="1270" t="s">
        <v>929</v>
      </c>
      <c r="E92" s="1271"/>
      <c r="F92" s="1271"/>
      <c r="G92" s="1271"/>
      <c r="H92" s="1271"/>
      <c r="I92" s="1271"/>
      <c r="J92" s="936"/>
      <c r="K92" s="943" t="s">
        <v>451</v>
      </c>
      <c r="L92" s="944"/>
      <c r="M92" s="944"/>
      <c r="N92" s="945">
        <f>+N91-N90</f>
        <v>0</v>
      </c>
      <c r="O92" s="4"/>
      <c r="P92" s="936"/>
    </row>
    <row r="93" spans="1:16">
      <c r="C93" s="489"/>
      <c r="D93" s="1271"/>
      <c r="E93" s="1271"/>
      <c r="F93" s="1271"/>
      <c r="G93" s="1271"/>
      <c r="H93" s="1271"/>
      <c r="I93" s="1271"/>
      <c r="J93" s="936"/>
      <c r="K93" s="935"/>
      <c r="L93" s="935"/>
      <c r="M93" s="935"/>
      <c r="N93" s="935"/>
      <c r="O93" s="4"/>
      <c r="P93" s="936"/>
    </row>
    <row r="94" spans="1:16" ht="13.5" thickBot="1">
      <c r="C94" s="489"/>
      <c r="D94" s="4"/>
      <c r="E94" s="490"/>
      <c r="F94" s="490"/>
      <c r="G94" s="490"/>
      <c r="H94" s="490"/>
      <c r="I94" s="490"/>
      <c r="J94" s="490"/>
      <c r="K94" s="490"/>
      <c r="L94" s="490"/>
      <c r="M94" s="490"/>
      <c r="N94" s="490"/>
      <c r="O94" s="4"/>
      <c r="P94" s="490"/>
    </row>
    <row r="95" spans="1:16" ht="13.5" thickBot="1">
      <c r="C95" s="491" t="s">
        <v>295</v>
      </c>
      <c r="D95" s="492"/>
      <c r="E95" s="492"/>
      <c r="F95" s="492"/>
      <c r="G95" s="492"/>
      <c r="H95" s="492"/>
      <c r="I95" s="493"/>
      <c r="K95" s="4"/>
      <c r="L95" s="4"/>
      <c r="M95" s="4"/>
      <c r="N95" s="4"/>
      <c r="O95" s="4"/>
    </row>
    <row r="96" spans="1:16" ht="15">
      <c r="C96" s="494" t="s">
        <v>273</v>
      </c>
      <c r="D96" s="946">
        <v>8327150</v>
      </c>
      <c r="E96" s="4" t="s">
        <v>274</v>
      </c>
      <c r="G96" s="82"/>
      <c r="H96" s="82"/>
      <c r="I96" s="495">
        <v>2018</v>
      </c>
      <c r="J96" s="138"/>
      <c r="K96" s="1272" t="s">
        <v>460</v>
      </c>
      <c r="L96" s="1272"/>
      <c r="M96" s="1272"/>
      <c r="N96" s="1272"/>
      <c r="O96" s="1272"/>
      <c r="P96" s="138"/>
    </row>
    <row r="97" spans="1:16">
      <c r="C97" s="494" t="s">
        <v>276</v>
      </c>
      <c r="D97" s="647">
        <v>2009</v>
      </c>
      <c r="E97" s="494" t="s">
        <v>277</v>
      </c>
      <c r="F97" s="82"/>
      <c r="H97"/>
      <c r="I97" s="650">
        <f>IF(G90="",0,$F$15)</f>
        <v>0</v>
      </c>
      <c r="J97" s="496"/>
      <c r="K97" s="936" t="s">
        <v>460</v>
      </c>
      <c r="P97" s="496"/>
    </row>
    <row r="98" spans="1:16">
      <c r="C98" s="494" t="s">
        <v>278</v>
      </c>
      <c r="D98" s="946">
        <v>6</v>
      </c>
      <c r="E98" s="494" t="s">
        <v>279</v>
      </c>
      <c r="F98" s="82"/>
      <c r="H98"/>
      <c r="I98" s="497">
        <f>$G$70</f>
        <v>0.11108872081308177</v>
      </c>
      <c r="J98" s="84"/>
      <c r="K98" t="str">
        <f>"          INPUT PROJECTED ARR (WITH &amp; WITHOUT INCENTIVES) FROM EACH PRIOR YEAR"</f>
        <v xml:space="preserve">          INPUT PROJECTED ARR (WITH &amp; WITHOUT INCENTIVES) FROM EACH PRIOR YEAR</v>
      </c>
      <c r="P98" s="84"/>
    </row>
    <row r="99" spans="1:16">
      <c r="C99" s="494" t="s">
        <v>280</v>
      </c>
      <c r="D99" s="498">
        <f>G$79</f>
        <v>38</v>
      </c>
      <c r="E99" s="494" t="s">
        <v>281</v>
      </c>
      <c r="F99" s="82"/>
      <c r="H99"/>
      <c r="I99" s="497">
        <f>IF(G90="",I98,$G$67)</f>
        <v>0.11108872081308177</v>
      </c>
      <c r="J99" s="84"/>
      <c r="K99" t="s">
        <v>358</v>
      </c>
      <c r="P99" s="84"/>
    </row>
    <row r="100" spans="1:16" ht="13.5" thickBot="1">
      <c r="C100" s="494" t="s">
        <v>282</v>
      </c>
      <c r="D100" s="649" t="s">
        <v>930</v>
      </c>
      <c r="E100" s="499" t="s">
        <v>283</v>
      </c>
      <c r="F100" s="500"/>
      <c r="G100" s="501"/>
      <c r="H100" s="501"/>
      <c r="I100" s="945">
        <f>IF(D96=0,0,D96/D99)</f>
        <v>219135.52631578947</v>
      </c>
      <c r="J100" s="936"/>
      <c r="K100" s="936" t="s">
        <v>364</v>
      </c>
      <c r="L100" s="936"/>
      <c r="M100" s="936"/>
      <c r="N100" s="936"/>
      <c r="O100" s="4"/>
      <c r="P100" s="936"/>
    </row>
    <row r="101" spans="1:16" ht="51">
      <c r="A101" s="12"/>
      <c r="B101" s="12"/>
      <c r="C101" s="502" t="s">
        <v>273</v>
      </c>
      <c r="D101" s="947" t="s">
        <v>284</v>
      </c>
      <c r="E101" s="948" t="s">
        <v>285</v>
      </c>
      <c r="F101" s="947" t="s">
        <v>286</v>
      </c>
      <c r="G101" s="948" t="s">
        <v>357</v>
      </c>
      <c r="H101" s="949" t="s">
        <v>357</v>
      </c>
      <c r="I101" s="502" t="s">
        <v>296</v>
      </c>
      <c r="J101" s="506"/>
      <c r="K101" s="948" t="s">
        <v>366</v>
      </c>
      <c r="L101" s="950"/>
      <c r="M101" s="948" t="s">
        <v>366</v>
      </c>
      <c r="N101" s="950"/>
      <c r="O101" s="950"/>
      <c r="P101" s="131"/>
    </row>
    <row r="102" spans="1:16" ht="13.5" thickBot="1">
      <c r="C102" s="507" t="s">
        <v>178</v>
      </c>
      <c r="D102" s="508" t="s">
        <v>179</v>
      </c>
      <c r="E102" s="507" t="s">
        <v>38</v>
      </c>
      <c r="F102" s="508" t="s">
        <v>179</v>
      </c>
      <c r="G102" s="951" t="s">
        <v>299</v>
      </c>
      <c r="H102" s="952" t="s">
        <v>301</v>
      </c>
      <c r="I102" s="507" t="s">
        <v>390</v>
      </c>
      <c r="J102" s="511"/>
      <c r="K102" s="951" t="s">
        <v>288</v>
      </c>
      <c r="L102" s="953"/>
      <c r="M102" s="951" t="s">
        <v>301</v>
      </c>
      <c r="N102" s="953"/>
      <c r="O102" s="953"/>
      <c r="P102" s="138"/>
    </row>
    <row r="103" spans="1:16">
      <c r="C103" s="512">
        <f>IF(D97= "","-",D97)</f>
        <v>2009</v>
      </c>
      <c r="D103" s="477">
        <f>+D96</f>
        <v>8327150</v>
      </c>
      <c r="E103" s="954">
        <f>+I100/12*(12-D98)</f>
        <v>109567.76315789473</v>
      </c>
      <c r="F103" s="477">
        <f t="shared" ref="F103:F162" si="0">+D103-E103</f>
        <v>8217582.2368421052</v>
      </c>
      <c r="G103" s="955">
        <f>+$I$98*((D103+F103)/2)+E103</f>
        <v>1028534.333350768</v>
      </c>
      <c r="H103" s="956">
        <f>+$I$99*((D103+F103)/2)+E103</f>
        <v>1028534.333350768</v>
      </c>
      <c r="I103" s="516">
        <f>+H103-G103</f>
        <v>0</v>
      </c>
      <c r="J103" s="516"/>
      <c r="K103" s="651"/>
      <c r="L103" s="518"/>
      <c r="M103" s="651"/>
      <c r="N103" s="518"/>
      <c r="O103" s="518"/>
      <c r="P103" s="479"/>
    </row>
    <row r="104" spans="1:16">
      <c r="C104" s="512">
        <f>IF(D97="","-",+C103+1)</f>
        <v>2010</v>
      </c>
      <c r="D104" s="477">
        <f t="shared" ref="D104:D162" si="1">F103</f>
        <v>8217582.2368421052</v>
      </c>
      <c r="E104" s="519">
        <f>IF(D104&gt;$I$100,$I$100,D104)</f>
        <v>219135.52631578947</v>
      </c>
      <c r="F104" s="477">
        <f t="shared" si="0"/>
        <v>7998446.7105263155</v>
      </c>
      <c r="G104" s="954">
        <f t="shared" ref="G104:G162" si="2">+$I$98*((D104+F104)/2)+E104</f>
        <v>1119844.4825313208</v>
      </c>
      <c r="H104" s="957">
        <f t="shared" ref="H104:H162" si="3">+$I$99*((D104+F104)/2)+E104</f>
        <v>1119844.4825313208</v>
      </c>
      <c r="I104" s="516">
        <f t="shared" ref="I104:I162" si="4">+H104-G104</f>
        <v>0</v>
      </c>
      <c r="J104" s="516"/>
      <c r="K104" s="652">
        <v>1408114.4789272889</v>
      </c>
      <c r="L104" s="522"/>
      <c r="M104" s="652">
        <v>1408114.4789272889</v>
      </c>
      <c r="N104" s="522"/>
      <c r="O104" s="522"/>
      <c r="P104" s="479"/>
    </row>
    <row r="105" spans="1:16">
      <c r="C105" s="512">
        <f>IF(D97="","-",+C104+1)</f>
        <v>2011</v>
      </c>
      <c r="D105" s="477">
        <f t="shared" si="1"/>
        <v>7998446.7105263155</v>
      </c>
      <c r="E105" s="519">
        <f t="shared" ref="E105:E162" si="5">IF(D105&gt;$I$100,$I$100,D105)</f>
        <v>219135.52631578947</v>
      </c>
      <c r="F105" s="477">
        <f t="shared" si="0"/>
        <v>7779311.1842105258</v>
      </c>
      <c r="G105" s="954">
        <f t="shared" si="2"/>
        <v>1095500.9972281985</v>
      </c>
      <c r="H105" s="957">
        <f t="shared" si="3"/>
        <v>1095500.9972281985</v>
      </c>
      <c r="I105" s="516">
        <f t="shared" si="4"/>
        <v>0</v>
      </c>
      <c r="J105" s="516"/>
      <c r="K105" s="652">
        <v>1487355</v>
      </c>
      <c r="L105" s="522"/>
      <c r="M105" s="652">
        <v>1487355</v>
      </c>
      <c r="N105" s="522"/>
      <c r="O105" s="522"/>
      <c r="P105" s="479"/>
    </row>
    <row r="106" spans="1:16">
      <c r="C106" s="512">
        <f>IF(D97="","-",+C105+1)</f>
        <v>2012</v>
      </c>
      <c r="D106" s="477">
        <f t="shared" si="1"/>
        <v>7779311.1842105258</v>
      </c>
      <c r="E106" s="519">
        <f t="shared" si="5"/>
        <v>219135.52631578947</v>
      </c>
      <c r="F106" s="477">
        <f t="shared" si="0"/>
        <v>7560175.6578947362</v>
      </c>
      <c r="G106" s="954">
        <f t="shared" si="2"/>
        <v>1071157.5119250759</v>
      </c>
      <c r="H106" s="957">
        <f t="shared" si="3"/>
        <v>1071157.5119250759</v>
      </c>
      <c r="I106" s="516">
        <f t="shared" si="4"/>
        <v>0</v>
      </c>
      <c r="J106" s="516"/>
      <c r="K106" s="652">
        <v>1319695.2352555101</v>
      </c>
      <c r="L106" s="522"/>
      <c r="M106" s="652">
        <v>1319695.2352555101</v>
      </c>
      <c r="N106" s="522"/>
      <c r="O106" s="522"/>
      <c r="P106" s="479"/>
    </row>
    <row r="107" spans="1:16">
      <c r="C107" s="512">
        <f>IF(D97="","-",+C106+1)</f>
        <v>2013</v>
      </c>
      <c r="D107" s="477">
        <f t="shared" si="1"/>
        <v>7560175.6578947362</v>
      </c>
      <c r="E107" s="519">
        <f t="shared" si="5"/>
        <v>219135.52631578947</v>
      </c>
      <c r="F107" s="477">
        <f t="shared" si="0"/>
        <v>7341040.1315789465</v>
      </c>
      <c r="G107" s="954">
        <f t="shared" si="2"/>
        <v>1046814.0266219534</v>
      </c>
      <c r="H107" s="957">
        <f t="shared" si="3"/>
        <v>1046814.0266219534</v>
      </c>
      <c r="I107" s="516">
        <f t="shared" si="4"/>
        <v>0</v>
      </c>
      <c r="J107" s="516"/>
      <c r="K107" s="958">
        <v>1272484</v>
      </c>
      <c r="L107" s="522"/>
      <c r="M107" s="958">
        <v>1272484</v>
      </c>
      <c r="N107" s="522"/>
      <c r="O107" s="522"/>
      <c r="P107" s="479"/>
    </row>
    <row r="108" spans="1:16">
      <c r="C108" s="512">
        <f>IF(D97="","-",+C107+1)</f>
        <v>2014</v>
      </c>
      <c r="D108" s="477">
        <f t="shared" si="1"/>
        <v>7341040.1315789465</v>
      </c>
      <c r="E108" s="519">
        <f t="shared" si="5"/>
        <v>219135.52631578947</v>
      </c>
      <c r="F108" s="477">
        <f t="shared" si="0"/>
        <v>7121904.6052631568</v>
      </c>
      <c r="G108" s="954">
        <f t="shared" si="2"/>
        <v>1022470.5413188308</v>
      </c>
      <c r="H108" s="957">
        <f t="shared" si="3"/>
        <v>1022470.5413188308</v>
      </c>
      <c r="I108" s="516">
        <f t="shared" si="4"/>
        <v>0</v>
      </c>
      <c r="J108" s="516"/>
      <c r="K108" s="652">
        <v>1249385</v>
      </c>
      <c r="L108" s="522"/>
      <c r="M108" s="652">
        <v>1249385</v>
      </c>
      <c r="N108" s="522"/>
      <c r="O108" s="522"/>
      <c r="P108" s="479"/>
    </row>
    <row r="109" spans="1:16">
      <c r="C109" s="512">
        <f>IF(D97="","-",+C108+1)</f>
        <v>2015</v>
      </c>
      <c r="D109" s="477">
        <f t="shared" si="1"/>
        <v>7121904.6052631568</v>
      </c>
      <c r="E109" s="519">
        <f t="shared" si="5"/>
        <v>219135.52631578947</v>
      </c>
      <c r="F109" s="477">
        <f t="shared" si="0"/>
        <v>6902769.0789473671</v>
      </c>
      <c r="G109" s="954">
        <f t="shared" si="2"/>
        <v>998127.05601570837</v>
      </c>
      <c r="H109" s="957">
        <f t="shared" si="3"/>
        <v>998127.05601570837</v>
      </c>
      <c r="I109" s="516">
        <f t="shared" si="4"/>
        <v>0</v>
      </c>
      <c r="J109" s="516"/>
      <c r="K109" s="652">
        <v>1278273</v>
      </c>
      <c r="L109" s="522"/>
      <c r="M109" s="652">
        <v>1278273</v>
      </c>
      <c r="N109" s="522"/>
      <c r="O109" s="522"/>
      <c r="P109" s="479"/>
    </row>
    <row r="110" spans="1:16">
      <c r="C110" s="512">
        <f>IF(D97="","-",+C109+1)</f>
        <v>2016</v>
      </c>
      <c r="D110" s="477">
        <f t="shared" si="1"/>
        <v>6902769.0789473671</v>
      </c>
      <c r="E110" s="519">
        <f t="shared" si="5"/>
        <v>219135.52631578947</v>
      </c>
      <c r="F110" s="477">
        <f t="shared" si="0"/>
        <v>6683633.5526315775</v>
      </c>
      <c r="G110" s="954">
        <f t="shared" si="2"/>
        <v>973783.57071258582</v>
      </c>
      <c r="H110" s="957">
        <f t="shared" si="3"/>
        <v>973783.57071258582</v>
      </c>
      <c r="I110" s="516">
        <f t="shared" si="4"/>
        <v>0</v>
      </c>
      <c r="J110" s="516"/>
      <c r="K110" s="652">
        <v>1254654</v>
      </c>
      <c r="L110" s="522"/>
      <c r="M110" s="652">
        <v>1254654</v>
      </c>
      <c r="N110" s="522"/>
      <c r="O110" s="522"/>
      <c r="P110" s="479"/>
    </row>
    <row r="111" spans="1:16">
      <c r="C111" s="512">
        <f>IF(D97="","-",+C110+1)</f>
        <v>2017</v>
      </c>
      <c r="D111" s="477">
        <f t="shared" si="1"/>
        <v>6683633.5526315775</v>
      </c>
      <c r="E111" s="519">
        <f t="shared" si="5"/>
        <v>219135.52631578947</v>
      </c>
      <c r="F111" s="477">
        <f t="shared" si="0"/>
        <v>6464498.0263157878</v>
      </c>
      <c r="G111" s="954">
        <f t="shared" si="2"/>
        <v>949440.08540946338</v>
      </c>
      <c r="H111" s="957">
        <f t="shared" si="3"/>
        <v>949440.08540946338</v>
      </c>
      <c r="I111" s="516">
        <f t="shared" si="4"/>
        <v>0</v>
      </c>
      <c r="J111" s="516"/>
      <c r="K111" s="652">
        <v>1132871</v>
      </c>
      <c r="L111" s="522"/>
      <c r="M111" s="652">
        <v>1132871</v>
      </c>
      <c r="N111" s="522"/>
      <c r="O111" s="522"/>
      <c r="P111" s="479"/>
    </row>
    <row r="112" spans="1:16">
      <c r="C112" s="959">
        <f>IF(D97="","-",+C111+1)</f>
        <v>2018</v>
      </c>
      <c r="D112" s="960">
        <f t="shared" si="1"/>
        <v>6464498.0263157878</v>
      </c>
      <c r="E112" s="961">
        <f t="shared" si="5"/>
        <v>219135.52631578947</v>
      </c>
      <c r="F112" s="960">
        <f t="shared" si="0"/>
        <v>6245362.4999999981</v>
      </c>
      <c r="G112" s="962">
        <f t="shared" si="2"/>
        <v>925096.60010634083</v>
      </c>
      <c r="H112" s="963">
        <f t="shared" si="3"/>
        <v>925096.60010634083</v>
      </c>
      <c r="I112" s="964">
        <f t="shared" si="4"/>
        <v>0</v>
      </c>
      <c r="J112" s="516"/>
      <c r="K112" s="652"/>
      <c r="L112" s="522"/>
      <c r="M112" s="652"/>
      <c r="N112" s="522"/>
      <c r="O112" s="522"/>
      <c r="P112" s="479"/>
    </row>
    <row r="113" spans="3:16">
      <c r="C113" s="512">
        <f>IF(D97="","-",+C112+1)</f>
        <v>2019</v>
      </c>
      <c r="D113" s="477">
        <f t="shared" si="1"/>
        <v>6245362.4999999981</v>
      </c>
      <c r="E113" s="519">
        <f t="shared" si="5"/>
        <v>219135.52631578947</v>
      </c>
      <c r="F113" s="477">
        <f t="shared" si="0"/>
        <v>6026226.9736842085</v>
      </c>
      <c r="G113" s="954">
        <f t="shared" si="2"/>
        <v>900753.1148032184</v>
      </c>
      <c r="H113" s="957">
        <f t="shared" si="3"/>
        <v>900753.1148032184</v>
      </c>
      <c r="I113" s="516">
        <f t="shared" si="4"/>
        <v>0</v>
      </c>
      <c r="J113" s="516"/>
      <c r="K113" s="652"/>
      <c r="L113" s="522"/>
      <c r="M113" s="652"/>
      <c r="N113" s="522"/>
      <c r="O113" s="522"/>
      <c r="P113" s="479"/>
    </row>
    <row r="114" spans="3:16">
      <c r="C114" s="512">
        <f>IF(D97="","-",+C113+1)</f>
        <v>2020</v>
      </c>
      <c r="D114" s="477">
        <f t="shared" si="1"/>
        <v>6026226.9736842085</v>
      </c>
      <c r="E114" s="519">
        <f t="shared" si="5"/>
        <v>219135.52631578947</v>
      </c>
      <c r="F114" s="477">
        <f t="shared" si="0"/>
        <v>5807091.4473684188</v>
      </c>
      <c r="G114" s="954">
        <f t="shared" si="2"/>
        <v>876409.62950009585</v>
      </c>
      <c r="H114" s="957">
        <f t="shared" si="3"/>
        <v>876409.62950009585</v>
      </c>
      <c r="I114" s="516">
        <f t="shared" si="4"/>
        <v>0</v>
      </c>
      <c r="J114" s="516"/>
      <c r="K114" s="652"/>
      <c r="L114" s="522"/>
      <c r="M114" s="652"/>
      <c r="N114" s="522"/>
      <c r="O114" s="522"/>
      <c r="P114" s="479"/>
    </row>
    <row r="115" spans="3:16">
      <c r="C115" s="512">
        <f>IF(D97="","-",+C114+1)</f>
        <v>2021</v>
      </c>
      <c r="D115" s="477">
        <f t="shared" si="1"/>
        <v>5807091.4473684188</v>
      </c>
      <c r="E115" s="519">
        <f t="shared" si="5"/>
        <v>219135.52631578947</v>
      </c>
      <c r="F115" s="477">
        <f t="shared" si="0"/>
        <v>5587955.9210526291</v>
      </c>
      <c r="G115" s="954">
        <f t="shared" si="2"/>
        <v>852066.14419697342</v>
      </c>
      <c r="H115" s="957">
        <f t="shared" si="3"/>
        <v>852066.14419697342</v>
      </c>
      <c r="I115" s="516">
        <f t="shared" si="4"/>
        <v>0</v>
      </c>
      <c r="J115" s="516"/>
      <c r="K115" s="652"/>
      <c r="L115" s="522"/>
      <c r="M115" s="652"/>
      <c r="N115" s="522"/>
      <c r="O115" s="522"/>
      <c r="P115" s="479"/>
    </row>
    <row r="116" spans="3:16">
      <c r="C116" s="512">
        <f>IF(D97="","-",+C115+1)</f>
        <v>2022</v>
      </c>
      <c r="D116" s="477">
        <f t="shared" si="1"/>
        <v>5587955.9210526291</v>
      </c>
      <c r="E116" s="519">
        <f t="shared" si="5"/>
        <v>219135.52631578947</v>
      </c>
      <c r="F116" s="477">
        <f t="shared" si="0"/>
        <v>5368820.3947368395</v>
      </c>
      <c r="G116" s="954">
        <f t="shared" si="2"/>
        <v>827722.65889385086</v>
      </c>
      <c r="H116" s="957">
        <f t="shared" si="3"/>
        <v>827722.65889385086</v>
      </c>
      <c r="I116" s="516">
        <f t="shared" si="4"/>
        <v>0</v>
      </c>
      <c r="J116" s="516"/>
      <c r="K116" s="652"/>
      <c r="L116" s="522"/>
      <c r="M116" s="652"/>
      <c r="N116" s="522"/>
      <c r="O116" s="522"/>
      <c r="P116" s="479"/>
    </row>
    <row r="117" spans="3:16">
      <c r="C117" s="512">
        <f>IF(D97="","-",+C116+1)</f>
        <v>2023</v>
      </c>
      <c r="D117" s="477">
        <f t="shared" si="1"/>
        <v>5368820.3947368395</v>
      </c>
      <c r="E117" s="519">
        <f t="shared" si="5"/>
        <v>219135.52631578947</v>
      </c>
      <c r="F117" s="477">
        <f t="shared" si="0"/>
        <v>5149684.8684210498</v>
      </c>
      <c r="G117" s="954">
        <f t="shared" si="2"/>
        <v>803379.17359072843</v>
      </c>
      <c r="H117" s="957">
        <f t="shared" si="3"/>
        <v>803379.17359072843</v>
      </c>
      <c r="I117" s="516">
        <f t="shared" si="4"/>
        <v>0</v>
      </c>
      <c r="J117" s="516"/>
      <c r="K117" s="652"/>
      <c r="L117" s="522"/>
      <c r="M117" s="652"/>
      <c r="N117" s="522"/>
      <c r="O117" s="522"/>
      <c r="P117" s="479"/>
    </row>
    <row r="118" spans="3:16">
      <c r="C118" s="512">
        <f>IF(D97="","-",+C117+1)</f>
        <v>2024</v>
      </c>
      <c r="D118" s="477">
        <f t="shared" si="1"/>
        <v>5149684.8684210498</v>
      </c>
      <c r="E118" s="519">
        <f t="shared" si="5"/>
        <v>219135.52631578947</v>
      </c>
      <c r="F118" s="477">
        <f t="shared" si="0"/>
        <v>4930549.3421052601</v>
      </c>
      <c r="G118" s="954">
        <f t="shared" si="2"/>
        <v>779035.68828760588</v>
      </c>
      <c r="H118" s="957">
        <f t="shared" si="3"/>
        <v>779035.68828760588</v>
      </c>
      <c r="I118" s="516">
        <f t="shared" si="4"/>
        <v>0</v>
      </c>
      <c r="J118" s="516"/>
      <c r="K118" s="652"/>
      <c r="L118" s="522"/>
      <c r="M118" s="652"/>
      <c r="N118" s="522"/>
      <c r="O118" s="522"/>
      <c r="P118" s="479"/>
    </row>
    <row r="119" spans="3:16">
      <c r="C119" s="512">
        <f>IF(D97="","-",+C118+1)</f>
        <v>2025</v>
      </c>
      <c r="D119" s="477">
        <f t="shared" si="1"/>
        <v>4930549.3421052601</v>
      </c>
      <c r="E119" s="519">
        <f t="shared" si="5"/>
        <v>219135.52631578947</v>
      </c>
      <c r="F119" s="477">
        <f t="shared" si="0"/>
        <v>4711413.8157894704</v>
      </c>
      <c r="G119" s="954">
        <f t="shared" si="2"/>
        <v>754692.20298448345</v>
      </c>
      <c r="H119" s="957">
        <f t="shared" si="3"/>
        <v>754692.20298448345</v>
      </c>
      <c r="I119" s="516">
        <f t="shared" si="4"/>
        <v>0</v>
      </c>
      <c r="J119" s="516"/>
      <c r="K119" s="652"/>
      <c r="L119" s="522"/>
      <c r="M119" s="652"/>
      <c r="N119" s="522"/>
      <c r="O119" s="522"/>
      <c r="P119" s="479"/>
    </row>
    <row r="120" spans="3:16">
      <c r="C120" s="512">
        <f>IF(D97="","-",+C119+1)</f>
        <v>2026</v>
      </c>
      <c r="D120" s="477">
        <f t="shared" si="1"/>
        <v>4711413.8157894704</v>
      </c>
      <c r="E120" s="519">
        <f t="shared" si="5"/>
        <v>219135.52631578947</v>
      </c>
      <c r="F120" s="477">
        <f t="shared" si="0"/>
        <v>4492278.2894736808</v>
      </c>
      <c r="G120" s="954">
        <f t="shared" si="2"/>
        <v>730348.71768136101</v>
      </c>
      <c r="H120" s="957">
        <f t="shared" si="3"/>
        <v>730348.71768136101</v>
      </c>
      <c r="I120" s="516">
        <f t="shared" si="4"/>
        <v>0</v>
      </c>
      <c r="J120" s="516"/>
      <c r="K120" s="652"/>
      <c r="L120" s="522"/>
      <c r="M120" s="652"/>
      <c r="N120" s="522"/>
      <c r="O120" s="522"/>
      <c r="P120" s="479"/>
    </row>
    <row r="121" spans="3:16">
      <c r="C121" s="512">
        <f>IF(D97="","-",+C120+1)</f>
        <v>2027</v>
      </c>
      <c r="D121" s="477">
        <f t="shared" si="1"/>
        <v>4492278.2894736808</v>
      </c>
      <c r="E121" s="519">
        <f t="shared" si="5"/>
        <v>219135.52631578947</v>
      </c>
      <c r="F121" s="477">
        <f t="shared" si="0"/>
        <v>4273142.7631578911</v>
      </c>
      <c r="G121" s="954">
        <f t="shared" si="2"/>
        <v>706005.23237823846</v>
      </c>
      <c r="H121" s="957">
        <f t="shared" si="3"/>
        <v>706005.23237823846</v>
      </c>
      <c r="I121" s="516">
        <f t="shared" si="4"/>
        <v>0</v>
      </c>
      <c r="J121" s="516"/>
      <c r="K121" s="652"/>
      <c r="L121" s="522"/>
      <c r="M121" s="652"/>
      <c r="N121" s="522"/>
      <c r="O121" s="522"/>
      <c r="P121" s="479"/>
    </row>
    <row r="122" spans="3:16">
      <c r="C122" s="512">
        <f>IF(D97="","-",+C121+1)</f>
        <v>2028</v>
      </c>
      <c r="D122" s="477">
        <f t="shared" si="1"/>
        <v>4273142.7631578911</v>
      </c>
      <c r="E122" s="519">
        <f t="shared" si="5"/>
        <v>219135.52631578947</v>
      </c>
      <c r="F122" s="477">
        <f t="shared" si="0"/>
        <v>4054007.2368421014</v>
      </c>
      <c r="G122" s="954">
        <f t="shared" si="2"/>
        <v>681661.74707511603</v>
      </c>
      <c r="H122" s="957">
        <f t="shared" si="3"/>
        <v>681661.74707511603</v>
      </c>
      <c r="I122" s="516">
        <f t="shared" si="4"/>
        <v>0</v>
      </c>
      <c r="J122" s="516"/>
      <c r="K122" s="652"/>
      <c r="L122" s="522"/>
      <c r="M122" s="652"/>
      <c r="N122" s="522"/>
      <c r="O122" s="522"/>
      <c r="P122" s="479"/>
    </row>
    <row r="123" spans="3:16">
      <c r="C123" s="512">
        <f>IF(D97="","-",+C122+1)</f>
        <v>2029</v>
      </c>
      <c r="D123" s="477">
        <f t="shared" si="1"/>
        <v>4054007.2368421014</v>
      </c>
      <c r="E123" s="519">
        <f t="shared" si="5"/>
        <v>219135.52631578947</v>
      </c>
      <c r="F123" s="477">
        <f t="shared" si="0"/>
        <v>3834871.7105263118</v>
      </c>
      <c r="G123" s="954">
        <f t="shared" si="2"/>
        <v>657318.26177199348</v>
      </c>
      <c r="H123" s="957">
        <f t="shared" si="3"/>
        <v>657318.26177199348</v>
      </c>
      <c r="I123" s="516">
        <f t="shared" si="4"/>
        <v>0</v>
      </c>
      <c r="J123" s="516"/>
      <c r="K123" s="652"/>
      <c r="L123" s="522"/>
      <c r="M123" s="652"/>
      <c r="N123" s="522"/>
      <c r="O123" s="522"/>
      <c r="P123" s="479"/>
    </row>
    <row r="124" spans="3:16">
      <c r="C124" s="512">
        <f>IF(D97="","-",+C123+1)</f>
        <v>2030</v>
      </c>
      <c r="D124" s="477">
        <f t="shared" si="1"/>
        <v>3834871.7105263118</v>
      </c>
      <c r="E124" s="519">
        <f t="shared" si="5"/>
        <v>219135.52631578947</v>
      </c>
      <c r="F124" s="477">
        <f t="shared" si="0"/>
        <v>3615736.1842105221</v>
      </c>
      <c r="G124" s="954">
        <f t="shared" si="2"/>
        <v>632974.77646887104</v>
      </c>
      <c r="H124" s="957">
        <f t="shared" si="3"/>
        <v>632974.77646887104</v>
      </c>
      <c r="I124" s="516">
        <f t="shared" si="4"/>
        <v>0</v>
      </c>
      <c r="J124" s="516"/>
      <c r="K124" s="652"/>
      <c r="L124" s="522"/>
      <c r="M124" s="652"/>
      <c r="N124" s="522"/>
      <c r="O124" s="522"/>
      <c r="P124" s="479"/>
    </row>
    <row r="125" spans="3:16">
      <c r="C125" s="512">
        <f>IF(D97="","-",+C124+1)</f>
        <v>2031</v>
      </c>
      <c r="D125" s="477">
        <f t="shared" si="1"/>
        <v>3615736.1842105221</v>
      </c>
      <c r="E125" s="519">
        <f t="shared" si="5"/>
        <v>219135.52631578947</v>
      </c>
      <c r="F125" s="477">
        <f t="shared" si="0"/>
        <v>3396600.6578947324</v>
      </c>
      <c r="G125" s="954">
        <f t="shared" si="2"/>
        <v>608631.29116574849</v>
      </c>
      <c r="H125" s="957">
        <f t="shared" si="3"/>
        <v>608631.29116574849</v>
      </c>
      <c r="I125" s="516">
        <f t="shared" si="4"/>
        <v>0</v>
      </c>
      <c r="J125" s="516"/>
      <c r="K125" s="652"/>
      <c r="L125" s="522"/>
      <c r="M125" s="652"/>
      <c r="N125" s="522"/>
      <c r="O125" s="522"/>
      <c r="P125" s="479"/>
    </row>
    <row r="126" spans="3:16">
      <c r="C126" s="512">
        <f>IF(D97="","-",+C125+1)</f>
        <v>2032</v>
      </c>
      <c r="D126" s="477">
        <f t="shared" si="1"/>
        <v>3396600.6578947324</v>
      </c>
      <c r="E126" s="519">
        <f t="shared" si="5"/>
        <v>219135.52631578947</v>
      </c>
      <c r="F126" s="477">
        <f t="shared" si="0"/>
        <v>3177465.1315789428</v>
      </c>
      <c r="G126" s="954">
        <f t="shared" si="2"/>
        <v>584287.80586262606</v>
      </c>
      <c r="H126" s="957">
        <f t="shared" si="3"/>
        <v>584287.80586262606</v>
      </c>
      <c r="I126" s="516">
        <f t="shared" si="4"/>
        <v>0</v>
      </c>
      <c r="J126" s="516"/>
      <c r="K126" s="652"/>
      <c r="L126" s="522"/>
      <c r="M126" s="652"/>
      <c r="N126" s="522"/>
      <c r="O126" s="522"/>
      <c r="P126" s="479"/>
    </row>
    <row r="127" spans="3:16">
      <c r="C127" s="512">
        <f>IF(D97="","-",+C126+1)</f>
        <v>2033</v>
      </c>
      <c r="D127" s="477">
        <f t="shared" si="1"/>
        <v>3177465.1315789428</v>
      </c>
      <c r="E127" s="519">
        <f t="shared" si="5"/>
        <v>219135.52631578947</v>
      </c>
      <c r="F127" s="477">
        <f t="shared" si="0"/>
        <v>2958329.6052631531</v>
      </c>
      <c r="G127" s="954">
        <f t="shared" si="2"/>
        <v>559944.32055950351</v>
      </c>
      <c r="H127" s="957">
        <f t="shared" si="3"/>
        <v>559944.32055950351</v>
      </c>
      <c r="I127" s="516">
        <f t="shared" si="4"/>
        <v>0</v>
      </c>
      <c r="J127" s="516"/>
      <c r="K127" s="652"/>
      <c r="L127" s="522"/>
      <c r="M127" s="652"/>
      <c r="N127" s="522"/>
      <c r="O127" s="522"/>
      <c r="P127" s="479"/>
    </row>
    <row r="128" spans="3:16">
      <c r="C128" s="512">
        <f>IF(D97="","-",+C127+1)</f>
        <v>2034</v>
      </c>
      <c r="D128" s="477">
        <f t="shared" si="1"/>
        <v>2958329.6052631531</v>
      </c>
      <c r="E128" s="519">
        <f t="shared" si="5"/>
        <v>219135.52631578947</v>
      </c>
      <c r="F128" s="477">
        <f t="shared" si="0"/>
        <v>2739194.0789473634</v>
      </c>
      <c r="G128" s="954">
        <f t="shared" si="2"/>
        <v>535600.83525638108</v>
      </c>
      <c r="H128" s="957">
        <f t="shared" si="3"/>
        <v>535600.83525638108</v>
      </c>
      <c r="I128" s="516">
        <f t="shared" si="4"/>
        <v>0</v>
      </c>
      <c r="J128" s="516"/>
      <c r="K128" s="652"/>
      <c r="L128" s="522"/>
      <c r="M128" s="652"/>
      <c r="N128" s="522"/>
      <c r="O128" s="522"/>
      <c r="P128" s="479"/>
    </row>
    <row r="129" spans="3:16">
      <c r="C129" s="512">
        <f>IF(D97="","-",+C128+1)</f>
        <v>2035</v>
      </c>
      <c r="D129" s="477">
        <f t="shared" si="1"/>
        <v>2739194.0789473634</v>
      </c>
      <c r="E129" s="519">
        <f t="shared" si="5"/>
        <v>219135.52631578947</v>
      </c>
      <c r="F129" s="477">
        <f t="shared" si="0"/>
        <v>2520058.5526315738</v>
      </c>
      <c r="G129" s="954">
        <f t="shared" si="2"/>
        <v>511257.34995325853</v>
      </c>
      <c r="H129" s="957">
        <f t="shared" si="3"/>
        <v>511257.34995325853</v>
      </c>
      <c r="I129" s="516">
        <f t="shared" si="4"/>
        <v>0</v>
      </c>
      <c r="J129" s="516"/>
      <c r="K129" s="652"/>
      <c r="L129" s="522"/>
      <c r="M129" s="652"/>
      <c r="N129" s="522"/>
      <c r="O129" s="522"/>
      <c r="P129" s="479"/>
    </row>
    <row r="130" spans="3:16">
      <c r="C130" s="512">
        <f>IF(D97="","-",+C129+1)</f>
        <v>2036</v>
      </c>
      <c r="D130" s="477">
        <f t="shared" si="1"/>
        <v>2520058.5526315738</v>
      </c>
      <c r="E130" s="519">
        <f t="shared" si="5"/>
        <v>219135.52631578947</v>
      </c>
      <c r="F130" s="477">
        <f t="shared" si="0"/>
        <v>2300923.0263157841</v>
      </c>
      <c r="G130" s="954">
        <f t="shared" si="2"/>
        <v>486913.86465013609</v>
      </c>
      <c r="H130" s="957">
        <f t="shared" si="3"/>
        <v>486913.86465013609</v>
      </c>
      <c r="I130" s="516">
        <f t="shared" si="4"/>
        <v>0</v>
      </c>
      <c r="J130" s="516"/>
      <c r="K130" s="652"/>
      <c r="L130" s="522"/>
      <c r="M130" s="652"/>
      <c r="N130" s="522"/>
      <c r="O130" s="522"/>
      <c r="P130" s="479"/>
    </row>
    <row r="131" spans="3:16">
      <c r="C131" s="512">
        <f>IF(D97="","-",+C130+1)</f>
        <v>2037</v>
      </c>
      <c r="D131" s="477">
        <f t="shared" si="1"/>
        <v>2300923.0263157841</v>
      </c>
      <c r="E131" s="519">
        <f t="shared" si="5"/>
        <v>219135.52631578947</v>
      </c>
      <c r="F131" s="477">
        <f t="shared" si="0"/>
        <v>2081787.4999999946</v>
      </c>
      <c r="G131" s="965">
        <f t="shared" si="2"/>
        <v>462570.37934701354</v>
      </c>
      <c r="H131" s="957">
        <f t="shared" si="3"/>
        <v>462570.37934701354</v>
      </c>
      <c r="I131" s="516">
        <f t="shared" si="4"/>
        <v>0</v>
      </c>
      <c r="J131" s="516"/>
      <c r="K131" s="652"/>
      <c r="L131" s="522"/>
      <c r="M131" s="652"/>
      <c r="N131" s="522"/>
      <c r="O131" s="522"/>
      <c r="P131" s="479"/>
    </row>
    <row r="132" spans="3:16">
      <c r="C132" s="512">
        <f>IF(D97="","-",+C131+1)</f>
        <v>2038</v>
      </c>
      <c r="D132" s="477">
        <f t="shared" si="1"/>
        <v>2081787.4999999946</v>
      </c>
      <c r="E132" s="519">
        <f t="shared" si="5"/>
        <v>219135.52631578947</v>
      </c>
      <c r="F132" s="477">
        <f t="shared" si="0"/>
        <v>1862651.9736842052</v>
      </c>
      <c r="G132" s="954">
        <f t="shared" si="2"/>
        <v>438226.89404389111</v>
      </c>
      <c r="H132" s="957">
        <f t="shared" si="3"/>
        <v>438226.89404389111</v>
      </c>
      <c r="I132" s="516">
        <f t="shared" si="4"/>
        <v>0</v>
      </c>
      <c r="J132" s="516"/>
      <c r="K132" s="652"/>
      <c r="L132" s="522"/>
      <c r="M132" s="652"/>
      <c r="N132" s="522"/>
      <c r="O132" s="522"/>
      <c r="P132" s="479"/>
    </row>
    <row r="133" spans="3:16">
      <c r="C133" s="512">
        <f>IF(D97="","-",+C132+1)</f>
        <v>2039</v>
      </c>
      <c r="D133" s="477">
        <f t="shared" si="1"/>
        <v>1862651.9736842052</v>
      </c>
      <c r="E133" s="519">
        <f t="shared" si="5"/>
        <v>219135.52631578947</v>
      </c>
      <c r="F133" s="477">
        <f t="shared" si="0"/>
        <v>1643516.4473684158</v>
      </c>
      <c r="G133" s="954">
        <f t="shared" si="2"/>
        <v>413883.40874076862</v>
      </c>
      <c r="H133" s="957">
        <f t="shared" si="3"/>
        <v>413883.40874076862</v>
      </c>
      <c r="I133" s="516">
        <f t="shared" si="4"/>
        <v>0</v>
      </c>
      <c r="J133" s="516"/>
      <c r="K133" s="652"/>
      <c r="L133" s="522"/>
      <c r="M133" s="652"/>
      <c r="N133" s="522"/>
      <c r="O133" s="522"/>
      <c r="P133" s="479"/>
    </row>
    <row r="134" spans="3:16">
      <c r="C134" s="512">
        <f>IF(D97="","-",+C133+1)</f>
        <v>2040</v>
      </c>
      <c r="D134" s="477">
        <f t="shared" si="1"/>
        <v>1643516.4473684158</v>
      </c>
      <c r="E134" s="519">
        <f t="shared" si="5"/>
        <v>219135.52631578947</v>
      </c>
      <c r="F134" s="477">
        <f t="shared" si="0"/>
        <v>1424380.9210526263</v>
      </c>
      <c r="G134" s="954">
        <f t="shared" si="2"/>
        <v>389539.92343764618</v>
      </c>
      <c r="H134" s="957">
        <f t="shared" si="3"/>
        <v>389539.92343764618</v>
      </c>
      <c r="I134" s="516">
        <f t="shared" si="4"/>
        <v>0</v>
      </c>
      <c r="J134" s="516"/>
      <c r="K134" s="652"/>
      <c r="L134" s="522"/>
      <c r="M134" s="652"/>
      <c r="N134" s="522"/>
      <c r="O134" s="522"/>
      <c r="P134" s="479"/>
    </row>
    <row r="135" spans="3:16">
      <c r="C135" s="512">
        <f>IF(D97="","-",+C134+1)</f>
        <v>2041</v>
      </c>
      <c r="D135" s="477">
        <f t="shared" si="1"/>
        <v>1424380.9210526263</v>
      </c>
      <c r="E135" s="519">
        <f t="shared" si="5"/>
        <v>219135.52631578947</v>
      </c>
      <c r="F135" s="477">
        <f t="shared" si="0"/>
        <v>1205245.3947368369</v>
      </c>
      <c r="G135" s="954">
        <f t="shared" si="2"/>
        <v>365196.43813452369</v>
      </c>
      <c r="H135" s="957">
        <f t="shared" si="3"/>
        <v>365196.43813452369</v>
      </c>
      <c r="I135" s="516">
        <f t="shared" si="4"/>
        <v>0</v>
      </c>
      <c r="J135" s="516"/>
      <c r="K135" s="652"/>
      <c r="L135" s="522"/>
      <c r="M135" s="652"/>
      <c r="N135" s="522"/>
      <c r="O135" s="522"/>
      <c r="P135" s="479"/>
    </row>
    <row r="136" spans="3:16">
      <c r="C136" s="512">
        <f>IF(D97="","-",+C135+1)</f>
        <v>2042</v>
      </c>
      <c r="D136" s="477">
        <f t="shared" si="1"/>
        <v>1205245.3947368369</v>
      </c>
      <c r="E136" s="519">
        <f t="shared" si="5"/>
        <v>219135.52631578947</v>
      </c>
      <c r="F136" s="477">
        <f t="shared" si="0"/>
        <v>986109.86842104746</v>
      </c>
      <c r="G136" s="954">
        <f t="shared" si="2"/>
        <v>340852.95283140126</v>
      </c>
      <c r="H136" s="957">
        <f t="shared" si="3"/>
        <v>340852.95283140126</v>
      </c>
      <c r="I136" s="516">
        <f t="shared" si="4"/>
        <v>0</v>
      </c>
      <c r="J136" s="516"/>
      <c r="K136" s="652"/>
      <c r="L136" s="522"/>
      <c r="M136" s="652"/>
      <c r="N136" s="522"/>
      <c r="O136" s="522"/>
      <c r="P136" s="479"/>
    </row>
    <row r="137" spans="3:16">
      <c r="C137" s="512">
        <f>IF(D97="","-",+C136+1)</f>
        <v>2043</v>
      </c>
      <c r="D137" s="477">
        <f t="shared" si="1"/>
        <v>986109.86842104746</v>
      </c>
      <c r="E137" s="519">
        <f t="shared" si="5"/>
        <v>219135.52631578947</v>
      </c>
      <c r="F137" s="477">
        <f t="shared" si="0"/>
        <v>766974.34210525802</v>
      </c>
      <c r="G137" s="954">
        <f t="shared" si="2"/>
        <v>316509.46752827876</v>
      </c>
      <c r="H137" s="957">
        <f t="shared" si="3"/>
        <v>316509.46752827876</v>
      </c>
      <c r="I137" s="516">
        <f t="shared" si="4"/>
        <v>0</v>
      </c>
      <c r="J137" s="516"/>
      <c r="K137" s="652"/>
      <c r="L137" s="522"/>
      <c r="M137" s="652"/>
      <c r="N137" s="522"/>
      <c r="O137" s="522"/>
      <c r="P137" s="479"/>
    </row>
    <row r="138" spans="3:16">
      <c r="C138" s="512">
        <f>IF(D97="","-",+C137+1)</f>
        <v>2044</v>
      </c>
      <c r="D138" s="477">
        <f t="shared" si="1"/>
        <v>766974.34210525802</v>
      </c>
      <c r="E138" s="519">
        <f t="shared" si="5"/>
        <v>219135.52631578947</v>
      </c>
      <c r="F138" s="477">
        <f t="shared" si="0"/>
        <v>547838.81578946859</v>
      </c>
      <c r="G138" s="954">
        <f t="shared" si="2"/>
        <v>292165.98222515627</v>
      </c>
      <c r="H138" s="957">
        <f t="shared" si="3"/>
        <v>292165.98222515627</v>
      </c>
      <c r="I138" s="516">
        <f t="shared" si="4"/>
        <v>0</v>
      </c>
      <c r="J138" s="516"/>
      <c r="K138" s="652"/>
      <c r="L138" s="522"/>
      <c r="M138" s="652"/>
      <c r="N138" s="522"/>
      <c r="O138" s="522"/>
      <c r="P138" s="479"/>
    </row>
    <row r="139" spans="3:16">
      <c r="C139" s="512">
        <f>IF(D97="","-",+C138+1)</f>
        <v>2045</v>
      </c>
      <c r="D139" s="477">
        <f t="shared" si="1"/>
        <v>547838.81578946859</v>
      </c>
      <c r="E139" s="519">
        <f t="shared" si="5"/>
        <v>219135.52631578947</v>
      </c>
      <c r="F139" s="477">
        <f t="shared" si="0"/>
        <v>328703.28947367915</v>
      </c>
      <c r="G139" s="954">
        <f t="shared" si="2"/>
        <v>267822.49692203384</v>
      </c>
      <c r="H139" s="957">
        <f t="shared" si="3"/>
        <v>267822.49692203384</v>
      </c>
      <c r="I139" s="516">
        <f t="shared" si="4"/>
        <v>0</v>
      </c>
      <c r="J139" s="516"/>
      <c r="K139" s="652"/>
      <c r="L139" s="522"/>
      <c r="M139" s="652"/>
      <c r="N139" s="522"/>
      <c r="O139" s="522"/>
      <c r="P139" s="479"/>
    </row>
    <row r="140" spans="3:16">
      <c r="C140" s="512">
        <f>IF(D97="","-",+C139+1)</f>
        <v>2046</v>
      </c>
      <c r="D140" s="477">
        <f t="shared" si="1"/>
        <v>328703.28947367915</v>
      </c>
      <c r="E140" s="519">
        <f t="shared" si="5"/>
        <v>219135.52631578947</v>
      </c>
      <c r="F140" s="477">
        <f t="shared" si="0"/>
        <v>109567.76315788968</v>
      </c>
      <c r="G140" s="954">
        <f t="shared" si="2"/>
        <v>243479.01161891138</v>
      </c>
      <c r="H140" s="957">
        <f t="shared" si="3"/>
        <v>243479.01161891138</v>
      </c>
      <c r="I140" s="516">
        <f t="shared" si="4"/>
        <v>0</v>
      </c>
      <c r="J140" s="516"/>
      <c r="K140" s="652"/>
      <c r="L140" s="522"/>
      <c r="M140" s="652"/>
      <c r="N140" s="522"/>
      <c r="O140" s="522"/>
      <c r="P140" s="479"/>
    </row>
    <row r="141" spans="3:16">
      <c r="C141" s="512">
        <f>IF(D97="","-",+C140+1)</f>
        <v>2047</v>
      </c>
      <c r="D141" s="477">
        <f t="shared" si="1"/>
        <v>109567.76315788968</v>
      </c>
      <c r="E141" s="519">
        <f t="shared" si="5"/>
        <v>109567.76315788968</v>
      </c>
      <c r="F141" s="477">
        <f t="shared" si="0"/>
        <v>0</v>
      </c>
      <c r="G141" s="954">
        <f t="shared" si="2"/>
        <v>115653.63448367002</v>
      </c>
      <c r="H141" s="957">
        <f t="shared" si="3"/>
        <v>115653.63448367002</v>
      </c>
      <c r="I141" s="516">
        <f t="shared" si="4"/>
        <v>0</v>
      </c>
      <c r="J141" s="516"/>
      <c r="K141" s="652"/>
      <c r="L141" s="522"/>
      <c r="M141" s="652"/>
      <c r="N141" s="522"/>
      <c r="O141" s="522"/>
      <c r="P141" s="479"/>
    </row>
    <row r="142" spans="3:16">
      <c r="C142" s="512">
        <f>IF(D97="","-",+C141+1)</f>
        <v>2048</v>
      </c>
      <c r="D142" s="477">
        <f t="shared" si="1"/>
        <v>0</v>
      </c>
      <c r="E142" s="519">
        <f t="shared" si="5"/>
        <v>0</v>
      </c>
      <c r="F142" s="477">
        <f t="shared" si="0"/>
        <v>0</v>
      </c>
      <c r="G142" s="954">
        <f t="shared" si="2"/>
        <v>0</v>
      </c>
      <c r="H142" s="957">
        <f t="shared" si="3"/>
        <v>0</v>
      </c>
      <c r="I142" s="516">
        <f t="shared" si="4"/>
        <v>0</v>
      </c>
      <c r="J142" s="516"/>
      <c r="K142" s="652"/>
      <c r="L142" s="522"/>
      <c r="M142" s="652"/>
      <c r="N142" s="522"/>
      <c r="O142" s="522"/>
      <c r="P142" s="479"/>
    </row>
    <row r="143" spans="3:16">
      <c r="C143" s="512">
        <f>IF(D97="","-",+C142+1)</f>
        <v>2049</v>
      </c>
      <c r="D143" s="477">
        <f t="shared" si="1"/>
        <v>0</v>
      </c>
      <c r="E143" s="519">
        <f t="shared" si="5"/>
        <v>0</v>
      </c>
      <c r="F143" s="477">
        <f t="shared" si="0"/>
        <v>0</v>
      </c>
      <c r="G143" s="954">
        <f t="shared" si="2"/>
        <v>0</v>
      </c>
      <c r="H143" s="957">
        <f t="shared" si="3"/>
        <v>0</v>
      </c>
      <c r="I143" s="516">
        <f t="shared" si="4"/>
        <v>0</v>
      </c>
      <c r="J143" s="516"/>
      <c r="K143" s="652"/>
      <c r="L143" s="522"/>
      <c r="M143" s="652"/>
      <c r="N143" s="522"/>
      <c r="O143" s="522"/>
      <c r="P143" s="479"/>
    </row>
    <row r="144" spans="3:16">
      <c r="C144" s="512">
        <f>IF(D97="","-",+C143+1)</f>
        <v>2050</v>
      </c>
      <c r="D144" s="477">
        <f t="shared" si="1"/>
        <v>0</v>
      </c>
      <c r="E144" s="519">
        <f t="shared" si="5"/>
        <v>0</v>
      </c>
      <c r="F144" s="477">
        <f t="shared" si="0"/>
        <v>0</v>
      </c>
      <c r="G144" s="954">
        <f t="shared" si="2"/>
        <v>0</v>
      </c>
      <c r="H144" s="957">
        <f t="shared" si="3"/>
        <v>0</v>
      </c>
      <c r="I144" s="516">
        <f t="shared" si="4"/>
        <v>0</v>
      </c>
      <c r="J144" s="516"/>
      <c r="K144" s="652"/>
      <c r="L144" s="522"/>
      <c r="M144" s="652"/>
      <c r="N144" s="522"/>
      <c r="O144" s="522"/>
      <c r="P144" s="479"/>
    </row>
    <row r="145" spans="3:16">
      <c r="C145" s="512">
        <f>IF(D97="","-",+C144+1)</f>
        <v>2051</v>
      </c>
      <c r="D145" s="477">
        <f t="shared" si="1"/>
        <v>0</v>
      </c>
      <c r="E145" s="519">
        <f t="shared" si="5"/>
        <v>0</v>
      </c>
      <c r="F145" s="477">
        <f t="shared" si="0"/>
        <v>0</v>
      </c>
      <c r="G145" s="954">
        <f t="shared" si="2"/>
        <v>0</v>
      </c>
      <c r="H145" s="957">
        <f t="shared" si="3"/>
        <v>0</v>
      </c>
      <c r="I145" s="516">
        <f t="shared" si="4"/>
        <v>0</v>
      </c>
      <c r="J145" s="516"/>
      <c r="K145" s="652"/>
      <c r="L145" s="522"/>
      <c r="M145" s="652"/>
      <c r="N145" s="522"/>
      <c r="O145" s="522"/>
      <c r="P145" s="479"/>
    </row>
    <row r="146" spans="3:16">
      <c r="C146" s="512">
        <f>IF(D97="","-",+C145+1)</f>
        <v>2052</v>
      </c>
      <c r="D146" s="477">
        <f t="shared" si="1"/>
        <v>0</v>
      </c>
      <c r="E146" s="519">
        <f t="shared" si="5"/>
        <v>0</v>
      </c>
      <c r="F146" s="477">
        <f t="shared" si="0"/>
        <v>0</v>
      </c>
      <c r="G146" s="954">
        <f t="shared" si="2"/>
        <v>0</v>
      </c>
      <c r="H146" s="957">
        <f t="shared" si="3"/>
        <v>0</v>
      </c>
      <c r="I146" s="516">
        <f t="shared" si="4"/>
        <v>0</v>
      </c>
      <c r="J146" s="516"/>
      <c r="K146" s="652"/>
      <c r="L146" s="522"/>
      <c r="M146" s="652"/>
      <c r="N146" s="522"/>
      <c r="O146" s="522"/>
      <c r="P146" s="479"/>
    </row>
    <row r="147" spans="3:16">
      <c r="C147" s="512">
        <f>IF(D97="","-",+C146+1)</f>
        <v>2053</v>
      </c>
      <c r="D147" s="477">
        <f t="shared" si="1"/>
        <v>0</v>
      </c>
      <c r="E147" s="519">
        <f t="shared" si="5"/>
        <v>0</v>
      </c>
      <c r="F147" s="477">
        <f t="shared" si="0"/>
        <v>0</v>
      </c>
      <c r="G147" s="954">
        <f t="shared" si="2"/>
        <v>0</v>
      </c>
      <c r="H147" s="957">
        <f t="shared" si="3"/>
        <v>0</v>
      </c>
      <c r="I147" s="516">
        <f t="shared" si="4"/>
        <v>0</v>
      </c>
      <c r="J147" s="516"/>
      <c r="K147" s="652"/>
      <c r="L147" s="522"/>
      <c r="M147" s="652"/>
      <c r="N147" s="522"/>
      <c r="O147" s="522"/>
      <c r="P147" s="479"/>
    </row>
    <row r="148" spans="3:16">
      <c r="C148" s="512">
        <f>IF(D97="","-",+C147+1)</f>
        <v>2054</v>
      </c>
      <c r="D148" s="477">
        <f t="shared" si="1"/>
        <v>0</v>
      </c>
      <c r="E148" s="519">
        <f t="shared" si="5"/>
        <v>0</v>
      </c>
      <c r="F148" s="477">
        <f t="shared" si="0"/>
        <v>0</v>
      </c>
      <c r="G148" s="954">
        <f t="shared" si="2"/>
        <v>0</v>
      </c>
      <c r="H148" s="957">
        <f t="shared" si="3"/>
        <v>0</v>
      </c>
      <c r="I148" s="516">
        <f t="shared" si="4"/>
        <v>0</v>
      </c>
      <c r="J148" s="516"/>
      <c r="K148" s="652"/>
      <c r="L148" s="522"/>
      <c r="M148" s="652"/>
      <c r="N148" s="522"/>
      <c r="O148" s="522"/>
      <c r="P148" s="479"/>
    </row>
    <row r="149" spans="3:16">
      <c r="C149" s="512">
        <f>IF(D97="","-",+C148+1)</f>
        <v>2055</v>
      </c>
      <c r="D149" s="477">
        <f t="shared" si="1"/>
        <v>0</v>
      </c>
      <c r="E149" s="519">
        <f t="shared" si="5"/>
        <v>0</v>
      </c>
      <c r="F149" s="477">
        <f t="shared" si="0"/>
        <v>0</v>
      </c>
      <c r="G149" s="954">
        <f t="shared" si="2"/>
        <v>0</v>
      </c>
      <c r="H149" s="957">
        <f t="shared" si="3"/>
        <v>0</v>
      </c>
      <c r="I149" s="516">
        <f t="shared" si="4"/>
        <v>0</v>
      </c>
      <c r="J149" s="516"/>
      <c r="K149" s="652"/>
      <c r="L149" s="522"/>
      <c r="M149" s="652"/>
      <c r="N149" s="522"/>
      <c r="O149" s="522"/>
      <c r="P149" s="479"/>
    </row>
    <row r="150" spans="3:16">
      <c r="C150" s="512">
        <f>IF(D97="","-",+C149+1)</f>
        <v>2056</v>
      </c>
      <c r="D150" s="477">
        <f t="shared" si="1"/>
        <v>0</v>
      </c>
      <c r="E150" s="519">
        <f t="shared" si="5"/>
        <v>0</v>
      </c>
      <c r="F150" s="477">
        <f t="shared" si="0"/>
        <v>0</v>
      </c>
      <c r="G150" s="954">
        <f t="shared" si="2"/>
        <v>0</v>
      </c>
      <c r="H150" s="957">
        <f t="shared" si="3"/>
        <v>0</v>
      </c>
      <c r="I150" s="516">
        <f t="shared" si="4"/>
        <v>0</v>
      </c>
      <c r="J150" s="516"/>
      <c r="K150" s="652"/>
      <c r="L150" s="522"/>
      <c r="M150" s="652"/>
      <c r="N150" s="522"/>
      <c r="O150" s="522"/>
      <c r="P150" s="479"/>
    </row>
    <row r="151" spans="3:16">
      <c r="C151" s="512">
        <f>IF(D97="","-",+C150+1)</f>
        <v>2057</v>
      </c>
      <c r="D151" s="477">
        <f t="shared" si="1"/>
        <v>0</v>
      </c>
      <c r="E151" s="519">
        <f t="shared" si="5"/>
        <v>0</v>
      </c>
      <c r="F151" s="477">
        <f t="shared" si="0"/>
        <v>0</v>
      </c>
      <c r="G151" s="954">
        <f t="shared" si="2"/>
        <v>0</v>
      </c>
      <c r="H151" s="957">
        <f t="shared" si="3"/>
        <v>0</v>
      </c>
      <c r="I151" s="516">
        <f t="shared" si="4"/>
        <v>0</v>
      </c>
      <c r="J151" s="516"/>
      <c r="K151" s="652"/>
      <c r="L151" s="522"/>
      <c r="M151" s="652"/>
      <c r="N151" s="522"/>
      <c r="O151" s="522"/>
      <c r="P151" s="479"/>
    </row>
    <row r="152" spans="3:16">
      <c r="C152" s="512">
        <f>IF(D97="","-",+C151+1)</f>
        <v>2058</v>
      </c>
      <c r="D152" s="477">
        <f t="shared" si="1"/>
        <v>0</v>
      </c>
      <c r="E152" s="519">
        <f t="shared" si="5"/>
        <v>0</v>
      </c>
      <c r="F152" s="477">
        <f t="shared" si="0"/>
        <v>0</v>
      </c>
      <c r="G152" s="954">
        <f t="shared" si="2"/>
        <v>0</v>
      </c>
      <c r="H152" s="957">
        <f t="shared" si="3"/>
        <v>0</v>
      </c>
      <c r="I152" s="516">
        <f t="shared" si="4"/>
        <v>0</v>
      </c>
      <c r="J152" s="516"/>
      <c r="K152" s="652"/>
      <c r="L152" s="522"/>
      <c r="M152" s="652"/>
      <c r="N152" s="522"/>
      <c r="O152" s="522"/>
      <c r="P152" s="479"/>
    </row>
    <row r="153" spans="3:16">
      <c r="C153" s="512">
        <f>IF(D97="","-",+C152+1)</f>
        <v>2059</v>
      </c>
      <c r="D153" s="477">
        <f t="shared" si="1"/>
        <v>0</v>
      </c>
      <c r="E153" s="519">
        <f t="shared" si="5"/>
        <v>0</v>
      </c>
      <c r="F153" s="477">
        <f t="shared" si="0"/>
        <v>0</v>
      </c>
      <c r="G153" s="954">
        <f t="shared" si="2"/>
        <v>0</v>
      </c>
      <c r="H153" s="957">
        <f t="shared" si="3"/>
        <v>0</v>
      </c>
      <c r="I153" s="516">
        <f t="shared" si="4"/>
        <v>0</v>
      </c>
      <c r="J153" s="516"/>
      <c r="K153" s="652"/>
      <c r="L153" s="522"/>
      <c r="M153" s="652"/>
      <c r="N153" s="522"/>
      <c r="O153" s="522"/>
      <c r="P153" s="479"/>
    </row>
    <row r="154" spans="3:16">
      <c r="C154" s="512">
        <f>IF(D97="","-",+C153+1)</f>
        <v>2060</v>
      </c>
      <c r="D154" s="477">
        <f t="shared" si="1"/>
        <v>0</v>
      </c>
      <c r="E154" s="519">
        <f t="shared" si="5"/>
        <v>0</v>
      </c>
      <c r="F154" s="477">
        <f t="shared" si="0"/>
        <v>0</v>
      </c>
      <c r="G154" s="954">
        <f t="shared" si="2"/>
        <v>0</v>
      </c>
      <c r="H154" s="957">
        <f t="shared" si="3"/>
        <v>0</v>
      </c>
      <c r="I154" s="516">
        <f t="shared" si="4"/>
        <v>0</v>
      </c>
      <c r="J154" s="516"/>
      <c r="K154" s="652"/>
      <c r="L154" s="522"/>
      <c r="M154" s="652"/>
      <c r="N154" s="522"/>
      <c r="O154" s="522"/>
      <c r="P154" s="479"/>
    </row>
    <row r="155" spans="3:16">
      <c r="C155" s="512">
        <f>IF(D97="","-",+C154+1)</f>
        <v>2061</v>
      </c>
      <c r="D155" s="477">
        <f t="shared" si="1"/>
        <v>0</v>
      </c>
      <c r="E155" s="519">
        <f t="shared" si="5"/>
        <v>0</v>
      </c>
      <c r="F155" s="477">
        <f t="shared" si="0"/>
        <v>0</v>
      </c>
      <c r="G155" s="954">
        <f t="shared" si="2"/>
        <v>0</v>
      </c>
      <c r="H155" s="957">
        <f t="shared" si="3"/>
        <v>0</v>
      </c>
      <c r="I155" s="516">
        <f t="shared" si="4"/>
        <v>0</v>
      </c>
      <c r="J155" s="516"/>
      <c r="K155" s="652"/>
      <c r="L155" s="522"/>
      <c r="M155" s="652"/>
      <c r="N155" s="522"/>
      <c r="O155" s="522"/>
      <c r="P155" s="479"/>
    </row>
    <row r="156" spans="3:16">
      <c r="C156" s="512">
        <f>IF(D97="","-",+C155+1)</f>
        <v>2062</v>
      </c>
      <c r="D156" s="477">
        <f t="shared" si="1"/>
        <v>0</v>
      </c>
      <c r="E156" s="519">
        <f t="shared" si="5"/>
        <v>0</v>
      </c>
      <c r="F156" s="477">
        <f t="shared" si="0"/>
        <v>0</v>
      </c>
      <c r="G156" s="954">
        <f t="shared" si="2"/>
        <v>0</v>
      </c>
      <c r="H156" s="957">
        <f t="shared" si="3"/>
        <v>0</v>
      </c>
      <c r="I156" s="516">
        <f t="shared" si="4"/>
        <v>0</v>
      </c>
      <c r="J156" s="516"/>
      <c r="K156" s="652"/>
      <c r="L156" s="522"/>
      <c r="M156" s="652"/>
      <c r="N156" s="522"/>
      <c r="O156" s="522"/>
      <c r="P156" s="479"/>
    </row>
    <row r="157" spans="3:16">
      <c r="C157" s="512">
        <f>IF(D97="","-",+C156+1)</f>
        <v>2063</v>
      </c>
      <c r="D157" s="477">
        <f t="shared" si="1"/>
        <v>0</v>
      </c>
      <c r="E157" s="519">
        <f t="shared" si="5"/>
        <v>0</v>
      </c>
      <c r="F157" s="477">
        <f t="shared" si="0"/>
        <v>0</v>
      </c>
      <c r="G157" s="954">
        <f t="shared" si="2"/>
        <v>0</v>
      </c>
      <c r="H157" s="957">
        <f t="shared" si="3"/>
        <v>0</v>
      </c>
      <c r="I157" s="516">
        <f t="shared" si="4"/>
        <v>0</v>
      </c>
      <c r="J157" s="516"/>
      <c r="K157" s="652"/>
      <c r="L157" s="522"/>
      <c r="M157" s="652"/>
      <c r="N157" s="522"/>
      <c r="O157" s="522"/>
      <c r="P157" s="479"/>
    </row>
    <row r="158" spans="3:16">
      <c r="C158" s="512">
        <f>IF(D97="","-",+C157+1)</f>
        <v>2064</v>
      </c>
      <c r="D158" s="477">
        <f t="shared" si="1"/>
        <v>0</v>
      </c>
      <c r="E158" s="519">
        <f t="shared" si="5"/>
        <v>0</v>
      </c>
      <c r="F158" s="477">
        <f t="shared" si="0"/>
        <v>0</v>
      </c>
      <c r="G158" s="954">
        <f t="shared" si="2"/>
        <v>0</v>
      </c>
      <c r="H158" s="957">
        <f t="shared" si="3"/>
        <v>0</v>
      </c>
      <c r="I158" s="516">
        <f t="shared" si="4"/>
        <v>0</v>
      </c>
      <c r="J158" s="516"/>
      <c r="K158" s="652"/>
      <c r="L158" s="522"/>
      <c r="M158" s="652"/>
      <c r="N158" s="522"/>
      <c r="O158" s="522"/>
      <c r="P158" s="479"/>
    </row>
    <row r="159" spans="3:16">
      <c r="C159" s="512">
        <f>IF(D97="","-",+C158+1)</f>
        <v>2065</v>
      </c>
      <c r="D159" s="477">
        <f t="shared" si="1"/>
        <v>0</v>
      </c>
      <c r="E159" s="519">
        <f t="shared" si="5"/>
        <v>0</v>
      </c>
      <c r="F159" s="477">
        <f t="shared" si="0"/>
        <v>0</v>
      </c>
      <c r="G159" s="954">
        <f t="shared" si="2"/>
        <v>0</v>
      </c>
      <c r="H159" s="957">
        <f t="shared" si="3"/>
        <v>0</v>
      </c>
      <c r="I159" s="516">
        <f t="shared" si="4"/>
        <v>0</v>
      </c>
      <c r="J159" s="516"/>
      <c r="K159" s="652"/>
      <c r="L159" s="522"/>
      <c r="M159" s="652"/>
      <c r="N159" s="522"/>
      <c r="O159" s="522"/>
      <c r="P159" s="479"/>
    </row>
    <row r="160" spans="3:16">
      <c r="C160" s="512">
        <f>IF(D97="","-",+C159+1)</f>
        <v>2066</v>
      </c>
      <c r="D160" s="477">
        <f t="shared" si="1"/>
        <v>0</v>
      </c>
      <c r="E160" s="519">
        <f t="shared" si="5"/>
        <v>0</v>
      </c>
      <c r="F160" s="477">
        <f t="shared" si="0"/>
        <v>0</v>
      </c>
      <c r="G160" s="954">
        <f t="shared" si="2"/>
        <v>0</v>
      </c>
      <c r="H160" s="957">
        <f t="shared" si="3"/>
        <v>0</v>
      </c>
      <c r="I160" s="516">
        <f t="shared" si="4"/>
        <v>0</v>
      </c>
      <c r="J160" s="516"/>
      <c r="K160" s="652"/>
      <c r="L160" s="522"/>
      <c r="M160" s="652"/>
      <c r="N160" s="522"/>
      <c r="O160" s="522"/>
      <c r="P160" s="479"/>
    </row>
    <row r="161" spans="1:16">
      <c r="C161" s="512">
        <f>IF(D97="","-",+C160+1)</f>
        <v>2067</v>
      </c>
      <c r="D161" s="477">
        <f t="shared" si="1"/>
        <v>0</v>
      </c>
      <c r="E161" s="519">
        <f t="shared" si="5"/>
        <v>0</v>
      </c>
      <c r="F161" s="477">
        <f t="shared" si="0"/>
        <v>0</v>
      </c>
      <c r="G161" s="954">
        <f t="shared" si="2"/>
        <v>0</v>
      </c>
      <c r="H161" s="957">
        <f t="shared" si="3"/>
        <v>0</v>
      </c>
      <c r="I161" s="516">
        <f t="shared" si="4"/>
        <v>0</v>
      </c>
      <c r="J161" s="516"/>
      <c r="K161" s="652"/>
      <c r="L161" s="522"/>
      <c r="M161" s="652"/>
      <c r="N161" s="522"/>
      <c r="O161" s="522"/>
      <c r="P161" s="479"/>
    </row>
    <row r="162" spans="1:16" ht="13.5" thickBot="1">
      <c r="C162" s="523">
        <f>IF(D97="","-",+C161+1)</f>
        <v>2068</v>
      </c>
      <c r="D162" s="524">
        <f t="shared" si="1"/>
        <v>0</v>
      </c>
      <c r="E162" s="525">
        <f t="shared" si="5"/>
        <v>0</v>
      </c>
      <c r="F162" s="524">
        <f t="shared" si="0"/>
        <v>0</v>
      </c>
      <c r="G162" s="966">
        <f t="shared" si="2"/>
        <v>0</v>
      </c>
      <c r="H162" s="966">
        <f t="shared" si="3"/>
        <v>0</v>
      </c>
      <c r="I162" s="527">
        <f t="shared" si="4"/>
        <v>0</v>
      </c>
      <c r="J162" s="516"/>
      <c r="K162" s="653"/>
      <c r="L162" s="529"/>
      <c r="M162" s="653"/>
      <c r="N162" s="529"/>
      <c r="O162" s="529"/>
      <c r="P162" s="479"/>
    </row>
    <row r="163" spans="1:16">
      <c r="C163" s="477" t="s">
        <v>289</v>
      </c>
      <c r="D163" s="936"/>
      <c r="E163" s="936">
        <f>SUM(E103:E162)</f>
        <v>8327149.9999999991</v>
      </c>
      <c r="F163" s="936"/>
      <c r="G163" s="936">
        <f>SUM(G103:G162)</f>
        <v>26365672.609613743</v>
      </c>
      <c r="H163" s="936">
        <f>SUM(H103:H162)</f>
        <v>26365672.609613743</v>
      </c>
      <c r="I163" s="936">
        <f>SUM(I103:I162)</f>
        <v>0</v>
      </c>
      <c r="J163" s="936"/>
      <c r="K163" s="936"/>
      <c r="L163" s="936"/>
      <c r="M163" s="936"/>
      <c r="N163" s="936"/>
      <c r="O163" s="4"/>
      <c r="P163" s="936"/>
    </row>
    <row r="164" spans="1:16">
      <c r="D164" s="82"/>
      <c r="E164" s="4"/>
      <c r="F164" s="4"/>
      <c r="G164" s="4"/>
      <c r="H164" s="935"/>
      <c r="I164" s="935"/>
      <c r="J164" s="936"/>
      <c r="K164" s="935"/>
      <c r="L164" s="935"/>
      <c r="M164" s="935"/>
      <c r="N164" s="935"/>
      <c r="O164" s="4"/>
      <c r="P164" s="936"/>
    </row>
    <row r="165" spans="1:16">
      <c r="C165" s="561" t="s">
        <v>931</v>
      </c>
      <c r="D165" s="82"/>
      <c r="E165" s="4"/>
      <c r="F165" s="4"/>
      <c r="G165" s="4"/>
      <c r="H165" s="935"/>
      <c r="I165" s="935"/>
      <c r="J165" s="936"/>
      <c r="K165" s="935"/>
      <c r="L165" s="935"/>
      <c r="M165" s="935"/>
      <c r="N165" s="935"/>
      <c r="O165" s="4"/>
      <c r="P165" s="936"/>
    </row>
    <row r="166" spans="1:16">
      <c r="D166" s="82"/>
      <c r="E166" s="4"/>
      <c r="F166" s="4"/>
      <c r="G166" s="4"/>
      <c r="H166" s="935"/>
      <c r="I166" s="935"/>
      <c r="J166" s="936"/>
      <c r="K166" s="935"/>
      <c r="L166" s="935"/>
      <c r="M166" s="935"/>
      <c r="N166" s="935"/>
      <c r="O166" s="4"/>
      <c r="P166" s="936"/>
    </row>
    <row r="167" spans="1:16" ht="12.75" customHeight="1">
      <c r="C167" s="489" t="s">
        <v>932</v>
      </c>
      <c r="D167" s="477"/>
      <c r="E167" s="477"/>
      <c r="F167" s="477"/>
      <c r="G167" s="936"/>
      <c r="H167" s="936"/>
      <c r="I167" s="479"/>
      <c r="J167" s="479"/>
      <c r="K167" s="479"/>
      <c r="L167" s="479"/>
      <c r="M167" s="479"/>
      <c r="N167" s="479"/>
      <c r="O167" s="4"/>
      <c r="P167" s="479"/>
    </row>
    <row r="168" spans="1:16">
      <c r="C168" s="478" t="s">
        <v>477</v>
      </c>
      <c r="D168" s="477"/>
      <c r="E168" s="477"/>
      <c r="F168" s="477"/>
      <c r="G168" s="936"/>
      <c r="H168" s="936"/>
      <c r="I168" s="479"/>
      <c r="J168" s="479"/>
      <c r="K168" s="479"/>
      <c r="L168" s="479"/>
      <c r="M168" s="479"/>
      <c r="N168" s="479"/>
      <c r="O168" s="4"/>
      <c r="P168" s="479"/>
    </row>
    <row r="169" spans="1:16">
      <c r="C169" s="478" t="s">
        <v>290</v>
      </c>
      <c r="D169" s="477"/>
      <c r="E169" s="477"/>
      <c r="F169" s="477"/>
      <c r="G169" s="936"/>
      <c r="H169" s="936"/>
      <c r="I169" s="479"/>
      <c r="J169" s="479"/>
      <c r="K169" s="479"/>
      <c r="L169" s="479"/>
      <c r="M169" s="479"/>
      <c r="N169" s="479"/>
      <c r="O169" s="4"/>
      <c r="P169" s="479"/>
    </row>
    <row r="170" spans="1:16">
      <c r="C170" s="478"/>
      <c r="D170" s="477"/>
      <c r="E170" s="477"/>
      <c r="F170" s="477"/>
      <c r="G170" s="936"/>
      <c r="H170" s="936"/>
      <c r="I170" s="479"/>
      <c r="J170" s="479"/>
      <c r="K170" s="479"/>
      <c r="L170" s="479"/>
      <c r="M170" s="479"/>
      <c r="N170" s="479"/>
      <c r="O170" s="4"/>
      <c r="P170" s="479"/>
    </row>
    <row r="171" spans="1:16">
      <c r="C171" s="1273" t="s">
        <v>461</v>
      </c>
      <c r="D171" s="1273"/>
      <c r="E171" s="1273"/>
      <c r="F171" s="1273"/>
      <c r="G171" s="1273"/>
      <c r="H171" s="1273"/>
      <c r="I171" s="1273"/>
      <c r="J171" s="1273"/>
      <c r="K171" s="1273"/>
      <c r="L171" s="1273"/>
      <c r="M171" s="1273"/>
      <c r="N171" s="1273"/>
      <c r="O171" s="1273"/>
    </row>
    <row r="172" spans="1:16">
      <c r="C172" s="1273"/>
      <c r="D172" s="1273"/>
      <c r="E172" s="1273"/>
      <c r="F172" s="1273"/>
      <c r="G172" s="1273"/>
      <c r="H172" s="1273"/>
      <c r="I172" s="1273"/>
      <c r="J172" s="1273"/>
      <c r="K172" s="1273"/>
      <c r="L172" s="1273"/>
      <c r="M172" s="1273"/>
      <c r="N172" s="1273"/>
      <c r="O172" s="1273"/>
    </row>
    <row r="173" spans="1:16" ht="20.25">
      <c r="A173" s="419" t="s">
        <v>928</v>
      </c>
      <c r="B173" s="4"/>
      <c r="C173" s="4"/>
      <c r="D173" s="82"/>
      <c r="E173" s="4"/>
      <c r="F173" s="84"/>
      <c r="G173" s="4"/>
      <c r="H173" s="935"/>
      <c r="K173" s="11"/>
      <c r="L173" s="11"/>
      <c r="M173" s="11"/>
      <c r="N173" s="11" t="str">
        <f>"Page "&amp;P173&amp;" of "</f>
        <v xml:space="preserve">Page 3 of </v>
      </c>
      <c r="O173" s="420">
        <f>COUNT(P$6:P$59527)</f>
        <v>9</v>
      </c>
      <c r="P173" s="4">
        <v>3</v>
      </c>
    </row>
    <row r="174" spans="1:16">
      <c r="B174" s="4"/>
      <c r="C174" s="4"/>
      <c r="D174" s="82"/>
      <c r="E174" s="4"/>
      <c r="F174" s="4"/>
      <c r="G174" s="4"/>
      <c r="H174" s="935"/>
      <c r="I174" s="4"/>
      <c r="J174" s="4"/>
      <c r="K174" s="4"/>
      <c r="L174" s="4"/>
      <c r="M174" s="4"/>
      <c r="N174" s="4"/>
      <c r="O174" s="4"/>
    </row>
    <row r="175" spans="1:16" ht="18">
      <c r="B175" s="421" t="s">
        <v>175</v>
      </c>
      <c r="C175" s="480" t="s">
        <v>291</v>
      </c>
      <c r="D175" s="82"/>
      <c r="E175" s="4"/>
      <c r="F175" s="4"/>
      <c r="G175" s="4"/>
      <c r="H175" s="935"/>
      <c r="I175" s="935"/>
      <c r="J175" s="936"/>
      <c r="K175" s="935"/>
      <c r="L175" s="935"/>
      <c r="M175" s="935"/>
      <c r="N175" s="935"/>
      <c r="O175" s="4"/>
    </row>
    <row r="176" spans="1:16" ht="18.75">
      <c r="B176" s="421"/>
      <c r="C176" s="13"/>
      <c r="D176" s="82"/>
      <c r="E176" s="4"/>
      <c r="F176" s="4"/>
      <c r="G176" s="4"/>
      <c r="H176" s="935"/>
      <c r="I176" s="935"/>
      <c r="J176" s="936"/>
      <c r="K176" s="935"/>
      <c r="L176" s="935"/>
      <c r="M176" s="935"/>
      <c r="N176" s="935"/>
      <c r="O176" s="4"/>
    </row>
    <row r="177" spans="1:15" ht="18.75">
      <c r="B177" s="421"/>
      <c r="C177" s="13" t="s">
        <v>292</v>
      </c>
      <c r="D177" s="82"/>
      <c r="E177" s="4"/>
      <c r="F177" s="4"/>
      <c r="G177" s="4"/>
      <c r="H177" s="935"/>
      <c r="I177" s="935"/>
      <c r="J177" s="936"/>
      <c r="K177" s="935"/>
      <c r="L177" s="935"/>
      <c r="M177" s="935"/>
      <c r="N177" s="935"/>
      <c r="O177" s="4"/>
    </row>
    <row r="178" spans="1:15" ht="15.75" thickBot="1">
      <c r="C178" s="254"/>
      <c r="D178" s="82"/>
      <c r="E178" s="4"/>
      <c r="F178" s="4"/>
      <c r="G178" s="4"/>
      <c r="H178" s="935"/>
      <c r="I178" s="935"/>
      <c r="J178" s="936"/>
      <c r="K178" s="935"/>
      <c r="L178" s="935"/>
      <c r="M178" s="935"/>
      <c r="N178" s="935"/>
      <c r="O178" s="4"/>
    </row>
    <row r="179" spans="1:15" ht="15.75">
      <c r="C179" s="422" t="s">
        <v>293</v>
      </c>
      <c r="D179" s="82"/>
      <c r="E179" s="4"/>
      <c r="F179" s="4"/>
      <c r="G179" s="937"/>
      <c r="H179" s="4" t="s">
        <v>272</v>
      </c>
      <c r="I179" s="4"/>
      <c r="J179" s="4"/>
      <c r="K179" s="481" t="s">
        <v>297</v>
      </c>
      <c r="L179" s="482"/>
      <c r="M179" s="483"/>
      <c r="N179" s="938">
        <f>VLOOKUP(I185,C192:O251,5)</f>
        <v>71951.185011984868</v>
      </c>
      <c r="O179" s="4"/>
    </row>
    <row r="180" spans="1:15" ht="15.75">
      <c r="C180" s="422"/>
      <c r="D180" s="82"/>
      <c r="E180" s="4"/>
      <c r="F180" s="4"/>
      <c r="G180" s="4"/>
      <c r="H180" s="939"/>
      <c r="I180" s="939"/>
      <c r="J180" s="940"/>
      <c r="K180" s="486" t="s">
        <v>298</v>
      </c>
      <c r="L180" s="941"/>
      <c r="M180" s="4"/>
      <c r="N180" s="942">
        <f>VLOOKUP(I185,C192:O251,6)</f>
        <v>71951.185011984868</v>
      </c>
      <c r="O180" s="4"/>
    </row>
    <row r="181" spans="1:15" ht="13.5" thickBot="1">
      <c r="C181" s="487" t="s">
        <v>294</v>
      </c>
      <c r="D181" s="1270" t="s">
        <v>933</v>
      </c>
      <c r="E181" s="1271"/>
      <c r="F181" s="1271"/>
      <c r="G181" s="1271"/>
      <c r="H181" s="1271"/>
      <c r="I181" s="1271"/>
      <c r="J181" s="936"/>
      <c r="K181" s="943" t="s">
        <v>451</v>
      </c>
      <c r="L181" s="944"/>
      <c r="M181" s="944"/>
      <c r="N181" s="945">
        <f>+N180-N179</f>
        <v>0</v>
      </c>
      <c r="O181" s="4"/>
    </row>
    <row r="182" spans="1:15">
      <c r="C182" s="489"/>
      <c r="D182" s="1271"/>
      <c r="E182" s="1271"/>
      <c r="F182" s="1271"/>
      <c r="G182" s="1271"/>
      <c r="H182" s="1271"/>
      <c r="I182" s="1271"/>
      <c r="J182" s="936"/>
      <c r="K182" s="935"/>
      <c r="L182" s="935"/>
      <c r="M182" s="935"/>
      <c r="N182" s="935"/>
      <c r="O182" s="4"/>
    </row>
    <row r="183" spans="1:15" ht="13.5" thickBot="1">
      <c r="C183" s="489"/>
      <c r="D183" s="4"/>
      <c r="E183" s="490"/>
      <c r="F183" s="490"/>
      <c r="G183" s="490"/>
      <c r="H183" s="490"/>
      <c r="I183" s="490"/>
      <c r="J183" s="490"/>
      <c r="K183" s="490"/>
      <c r="L183" s="490"/>
      <c r="M183" s="490"/>
      <c r="N183" s="490"/>
      <c r="O183" s="4"/>
    </row>
    <row r="184" spans="1:15" ht="13.5" thickBot="1">
      <c r="C184" s="491" t="s">
        <v>295</v>
      </c>
      <c r="D184" s="492"/>
      <c r="E184" s="492"/>
      <c r="F184" s="492"/>
      <c r="G184" s="492"/>
      <c r="H184" s="492"/>
      <c r="I184" s="493"/>
      <c r="K184" s="4"/>
      <c r="L184" s="4"/>
      <c r="M184" s="4"/>
      <c r="N184" s="4"/>
      <c r="O184" s="4"/>
    </row>
    <row r="185" spans="1:15" ht="15">
      <c r="C185" s="494" t="s">
        <v>273</v>
      </c>
      <c r="D185" s="946">
        <v>585981</v>
      </c>
      <c r="E185" s="4" t="s">
        <v>274</v>
      </c>
      <c r="G185" s="82"/>
      <c r="H185" s="82"/>
      <c r="I185" s="495">
        <v>2018</v>
      </c>
      <c r="J185" s="138"/>
      <c r="K185" s="1272" t="s">
        <v>460</v>
      </c>
      <c r="L185" s="1272"/>
      <c r="M185" s="1272"/>
      <c r="N185" s="1272"/>
      <c r="O185" s="1272"/>
    </row>
    <row r="186" spans="1:15">
      <c r="C186" s="494" t="s">
        <v>276</v>
      </c>
      <c r="D186" s="647">
        <v>2013</v>
      </c>
      <c r="E186" s="494" t="s">
        <v>277</v>
      </c>
      <c r="F186" s="82"/>
      <c r="H186"/>
      <c r="I186" s="650">
        <f>IF(G179="",0,$F$15)</f>
        <v>0</v>
      </c>
      <c r="J186" s="496"/>
      <c r="K186" s="936" t="s">
        <v>460</v>
      </c>
    </row>
    <row r="187" spans="1:15">
      <c r="C187" s="494" t="s">
        <v>278</v>
      </c>
      <c r="D187" s="946">
        <v>6</v>
      </c>
      <c r="E187" s="494" t="s">
        <v>279</v>
      </c>
      <c r="F187" s="82"/>
      <c r="H187"/>
      <c r="I187" s="497">
        <f>$G$70</f>
        <v>0.11108872081308177</v>
      </c>
      <c r="J187" s="84"/>
      <c r="K187" t="str">
        <f>"          INPUT PROJECTED ARR (WITH &amp; WITHOUT INCENTIVES) FROM EACH PRIOR YEAR"</f>
        <v xml:space="preserve">          INPUT PROJECTED ARR (WITH &amp; WITHOUT INCENTIVES) FROM EACH PRIOR YEAR</v>
      </c>
    </row>
    <row r="188" spans="1:15">
      <c r="C188" s="494" t="s">
        <v>280</v>
      </c>
      <c r="D188" s="498">
        <f>G$79</f>
        <v>38</v>
      </c>
      <c r="E188" s="494" t="s">
        <v>281</v>
      </c>
      <c r="F188" s="82"/>
      <c r="H188"/>
      <c r="I188" s="497">
        <f>IF(G179="",I187,$G$67)</f>
        <v>0.11108872081308177</v>
      </c>
      <c r="J188" s="84"/>
      <c r="K188" t="s">
        <v>358</v>
      </c>
    </row>
    <row r="189" spans="1:15" ht="13.5" thickBot="1">
      <c r="C189" s="494" t="s">
        <v>282</v>
      </c>
      <c r="D189" s="649" t="s">
        <v>930</v>
      </c>
      <c r="E189" s="499" t="s">
        <v>283</v>
      </c>
      <c r="F189" s="500"/>
      <c r="G189" s="501"/>
      <c r="H189" s="501"/>
      <c r="I189" s="945">
        <f>IF(D185=0,0,D185/D188)</f>
        <v>15420.552631578947</v>
      </c>
      <c r="J189" s="936"/>
      <c r="K189" s="936" t="s">
        <v>364</v>
      </c>
      <c r="L189" s="936"/>
      <c r="M189" s="936"/>
      <c r="N189" s="936"/>
      <c r="O189" s="4"/>
    </row>
    <row r="190" spans="1:15" ht="51">
      <c r="A190" s="12"/>
      <c r="B190" s="12"/>
      <c r="C190" s="502" t="s">
        <v>273</v>
      </c>
      <c r="D190" s="947" t="s">
        <v>284</v>
      </c>
      <c r="E190" s="948" t="s">
        <v>285</v>
      </c>
      <c r="F190" s="947" t="s">
        <v>286</v>
      </c>
      <c r="G190" s="948" t="s">
        <v>357</v>
      </c>
      <c r="H190" s="949" t="s">
        <v>357</v>
      </c>
      <c r="I190" s="502" t="s">
        <v>296</v>
      </c>
      <c r="J190" s="506"/>
      <c r="K190" s="948" t="s">
        <v>366</v>
      </c>
      <c r="L190" s="950"/>
      <c r="M190" s="948" t="s">
        <v>366</v>
      </c>
      <c r="N190" s="950"/>
      <c r="O190" s="950"/>
    </row>
    <row r="191" spans="1:15" ht="13.5" thickBot="1">
      <c r="C191" s="507" t="s">
        <v>178</v>
      </c>
      <c r="D191" s="508" t="s">
        <v>179</v>
      </c>
      <c r="E191" s="507" t="s">
        <v>38</v>
      </c>
      <c r="F191" s="508" t="s">
        <v>179</v>
      </c>
      <c r="G191" s="951" t="s">
        <v>299</v>
      </c>
      <c r="H191" s="952" t="s">
        <v>301</v>
      </c>
      <c r="I191" s="507" t="s">
        <v>390</v>
      </c>
      <c r="J191" s="511"/>
      <c r="K191" s="951" t="s">
        <v>288</v>
      </c>
      <c r="L191" s="953"/>
      <c r="M191" s="951" t="s">
        <v>301</v>
      </c>
      <c r="N191" s="953"/>
      <c r="O191" s="953"/>
    </row>
    <row r="192" spans="1:15">
      <c r="C192" s="512">
        <f>IF(D186= "","-",D186)</f>
        <v>2013</v>
      </c>
      <c r="D192" s="477">
        <f>+D185</f>
        <v>585981</v>
      </c>
      <c r="E192" s="954">
        <f>+I189/12*(12-D187)</f>
        <v>7710.2763157894733</v>
      </c>
      <c r="F192" s="477">
        <f t="shared" ref="F192:F251" si="6">+D192-E192</f>
        <v>578270.72368421056</v>
      </c>
      <c r="G192" s="955">
        <f>+$I$187*((D192+F192)/2)+E192</f>
        <v>72377.893660041707</v>
      </c>
      <c r="H192" s="956">
        <f>+$I$188*((D192+F192)/2)+E192</f>
        <v>72377.893660041707</v>
      </c>
      <c r="I192" s="516">
        <f>+H192-G192</f>
        <v>0</v>
      </c>
      <c r="J192" s="516"/>
      <c r="K192" s="958">
        <v>92625</v>
      </c>
      <c r="L192" s="518"/>
      <c r="M192" s="958">
        <v>92625</v>
      </c>
      <c r="N192" s="518"/>
      <c r="O192" s="518"/>
    </row>
    <row r="193" spans="3:15">
      <c r="C193" s="512">
        <f>IF(D186="","-",+C192+1)</f>
        <v>2014</v>
      </c>
      <c r="D193" s="477">
        <f t="shared" ref="D193:D251" si="7">F192</f>
        <v>578270.72368421056</v>
      </c>
      <c r="E193" s="519">
        <f>IF(D193&gt;$I$189,$I$189,D193)</f>
        <v>15420.552631578947</v>
      </c>
      <c r="F193" s="477">
        <f t="shared" si="6"/>
        <v>562850.17105263157</v>
      </c>
      <c r="G193" s="954">
        <f t="shared" ref="G193:G251" si="8">+$I$187*((D193+F193)/2)+E193</f>
        <v>78803.382876276519</v>
      </c>
      <c r="H193" s="957">
        <f t="shared" ref="H193:H251" si="9">+$I$188*((D193+F193)/2)+E193</f>
        <v>78803.382876276519</v>
      </c>
      <c r="I193" s="516">
        <f t="shared" ref="I193:I251" si="10">+H193-G193</f>
        <v>0</v>
      </c>
      <c r="J193" s="516"/>
      <c r="K193" s="652">
        <v>87393</v>
      </c>
      <c r="L193" s="522"/>
      <c r="M193" s="652">
        <v>87393</v>
      </c>
      <c r="N193" s="522"/>
      <c r="O193" s="522"/>
    </row>
    <row r="194" spans="3:15">
      <c r="C194" s="512">
        <f>IF(D186="","-",+C193+1)</f>
        <v>2015</v>
      </c>
      <c r="D194" s="477">
        <f t="shared" si="7"/>
        <v>562850.17105263157</v>
      </c>
      <c r="E194" s="519">
        <f t="shared" ref="E194:E251" si="11">IF(D194&gt;$I$189,$I$189,D194)</f>
        <v>15420.552631578947</v>
      </c>
      <c r="F194" s="477">
        <f t="shared" si="6"/>
        <v>547429.61842105258</v>
      </c>
      <c r="G194" s="954">
        <f t="shared" si="8"/>
        <v>77090.333410203602</v>
      </c>
      <c r="H194" s="957">
        <f t="shared" si="9"/>
        <v>77090.333410203602</v>
      </c>
      <c r="I194" s="516">
        <f t="shared" si="10"/>
        <v>0</v>
      </c>
      <c r="J194" s="516"/>
      <c r="K194" s="652">
        <v>87463</v>
      </c>
      <c r="L194" s="522"/>
      <c r="M194" s="652">
        <v>87463</v>
      </c>
      <c r="N194" s="522"/>
      <c r="O194" s="522"/>
    </row>
    <row r="195" spans="3:15">
      <c r="C195" s="512">
        <f>IF(D186="","-",+C194+1)</f>
        <v>2016</v>
      </c>
      <c r="D195" s="477">
        <f t="shared" si="7"/>
        <v>547429.61842105258</v>
      </c>
      <c r="E195" s="519">
        <f t="shared" si="11"/>
        <v>15420.552631578947</v>
      </c>
      <c r="F195" s="477">
        <f t="shared" si="6"/>
        <v>532009.06578947359</v>
      </c>
      <c r="G195" s="954">
        <f t="shared" si="8"/>
        <v>75377.283944130701</v>
      </c>
      <c r="H195" s="957">
        <f t="shared" si="9"/>
        <v>75377.283944130701</v>
      </c>
      <c r="I195" s="516">
        <f t="shared" si="10"/>
        <v>0</v>
      </c>
      <c r="J195" s="516"/>
      <c r="K195" s="652">
        <v>85936</v>
      </c>
      <c r="L195" s="522"/>
      <c r="M195" s="652">
        <v>85936</v>
      </c>
      <c r="N195" s="522"/>
      <c r="O195" s="522"/>
    </row>
    <row r="196" spans="3:15">
      <c r="C196" s="512">
        <f>IF(D186="","-",+C195+1)</f>
        <v>2017</v>
      </c>
      <c r="D196" s="477">
        <f t="shared" si="7"/>
        <v>532009.06578947359</v>
      </c>
      <c r="E196" s="519">
        <f t="shared" si="11"/>
        <v>15420.552631578947</v>
      </c>
      <c r="F196" s="477">
        <f t="shared" si="6"/>
        <v>516588.51315789466</v>
      </c>
      <c r="G196" s="954">
        <f t="shared" si="8"/>
        <v>73664.234478057784</v>
      </c>
      <c r="H196" s="957">
        <f t="shared" si="9"/>
        <v>73664.234478057784</v>
      </c>
      <c r="I196" s="516">
        <f t="shared" si="10"/>
        <v>0</v>
      </c>
      <c r="J196" s="516"/>
      <c r="K196" s="652">
        <v>77494</v>
      </c>
      <c r="L196" s="522"/>
      <c r="M196" s="652">
        <v>77494</v>
      </c>
      <c r="N196" s="522"/>
      <c r="O196" s="522"/>
    </row>
    <row r="197" spans="3:15">
      <c r="C197" s="959">
        <f>IF(D186="","-",+C196+1)</f>
        <v>2018</v>
      </c>
      <c r="D197" s="960">
        <f t="shared" si="7"/>
        <v>516588.51315789466</v>
      </c>
      <c r="E197" s="961">
        <f t="shared" si="11"/>
        <v>15420.552631578947</v>
      </c>
      <c r="F197" s="960">
        <f t="shared" si="6"/>
        <v>501167.96052631573</v>
      </c>
      <c r="G197" s="962">
        <f t="shared" si="8"/>
        <v>71951.185011984868</v>
      </c>
      <c r="H197" s="963">
        <f t="shared" si="9"/>
        <v>71951.185011984868</v>
      </c>
      <c r="I197" s="964">
        <f t="shared" si="10"/>
        <v>0</v>
      </c>
      <c r="J197" s="516"/>
      <c r="K197" s="652"/>
      <c r="L197" s="522"/>
      <c r="M197" s="652"/>
      <c r="N197" s="522"/>
      <c r="O197" s="522"/>
    </row>
    <row r="198" spans="3:15">
      <c r="C198" s="512">
        <f>IF(D186="","-",+C197+1)</f>
        <v>2019</v>
      </c>
      <c r="D198" s="477">
        <f t="shared" si="7"/>
        <v>501167.96052631573</v>
      </c>
      <c r="E198" s="519">
        <f t="shared" si="11"/>
        <v>15420.552631578947</v>
      </c>
      <c r="F198" s="477">
        <f t="shared" si="6"/>
        <v>485747.4078947368</v>
      </c>
      <c r="G198" s="954">
        <f t="shared" si="8"/>
        <v>70238.135545911966</v>
      </c>
      <c r="H198" s="957">
        <f t="shared" si="9"/>
        <v>70238.135545911966</v>
      </c>
      <c r="I198" s="516">
        <f t="shared" si="10"/>
        <v>0</v>
      </c>
      <c r="J198" s="516"/>
      <c r="K198" s="652"/>
      <c r="L198" s="522"/>
      <c r="M198" s="652"/>
      <c r="N198" s="522"/>
      <c r="O198" s="522"/>
    </row>
    <row r="199" spans="3:15">
      <c r="C199" s="512">
        <f>IF(D186="","-",+C198+1)</f>
        <v>2020</v>
      </c>
      <c r="D199" s="477">
        <f t="shared" si="7"/>
        <v>485747.4078947368</v>
      </c>
      <c r="E199" s="519">
        <f t="shared" si="11"/>
        <v>15420.552631578947</v>
      </c>
      <c r="F199" s="477">
        <f t="shared" si="6"/>
        <v>470326.85526315786</v>
      </c>
      <c r="G199" s="954">
        <f t="shared" si="8"/>
        <v>68525.086079839064</v>
      </c>
      <c r="H199" s="957">
        <f t="shared" si="9"/>
        <v>68525.086079839064</v>
      </c>
      <c r="I199" s="516">
        <f t="shared" si="10"/>
        <v>0</v>
      </c>
      <c r="J199" s="516"/>
      <c r="K199" s="652"/>
      <c r="L199" s="522"/>
      <c r="M199" s="652"/>
      <c r="N199" s="522"/>
      <c r="O199" s="522"/>
    </row>
    <row r="200" spans="3:15">
      <c r="C200" s="512">
        <f>IF(D186="","-",+C199+1)</f>
        <v>2021</v>
      </c>
      <c r="D200" s="477">
        <f t="shared" si="7"/>
        <v>470326.85526315786</v>
      </c>
      <c r="E200" s="519">
        <f t="shared" si="11"/>
        <v>15420.552631578947</v>
      </c>
      <c r="F200" s="477">
        <f t="shared" si="6"/>
        <v>454906.30263157893</v>
      </c>
      <c r="G200" s="954">
        <f t="shared" si="8"/>
        <v>66812.036613766162</v>
      </c>
      <c r="H200" s="957">
        <f t="shared" si="9"/>
        <v>66812.036613766162</v>
      </c>
      <c r="I200" s="516">
        <f t="shared" si="10"/>
        <v>0</v>
      </c>
      <c r="J200" s="516"/>
      <c r="K200" s="652"/>
      <c r="L200" s="522"/>
      <c r="M200" s="652"/>
      <c r="N200" s="522"/>
      <c r="O200" s="522"/>
    </row>
    <row r="201" spans="3:15">
      <c r="C201" s="512">
        <f>IF(D186="","-",+C200+1)</f>
        <v>2022</v>
      </c>
      <c r="D201" s="477">
        <f t="shared" si="7"/>
        <v>454906.30263157893</v>
      </c>
      <c r="E201" s="519">
        <f t="shared" si="11"/>
        <v>15420.552631578947</v>
      </c>
      <c r="F201" s="477">
        <f t="shared" si="6"/>
        <v>439485.75</v>
      </c>
      <c r="G201" s="954">
        <f t="shared" si="8"/>
        <v>65098.987147693246</v>
      </c>
      <c r="H201" s="957">
        <f t="shared" si="9"/>
        <v>65098.987147693246</v>
      </c>
      <c r="I201" s="516">
        <f t="shared" si="10"/>
        <v>0</v>
      </c>
      <c r="J201" s="516"/>
      <c r="K201" s="652"/>
      <c r="L201" s="522"/>
      <c r="M201" s="652"/>
      <c r="N201" s="522"/>
      <c r="O201" s="522"/>
    </row>
    <row r="202" spans="3:15">
      <c r="C202" s="512">
        <f>IF(D186="","-",+C201+1)</f>
        <v>2023</v>
      </c>
      <c r="D202" s="477">
        <f t="shared" si="7"/>
        <v>439485.75</v>
      </c>
      <c r="E202" s="519">
        <f t="shared" si="11"/>
        <v>15420.552631578947</v>
      </c>
      <c r="F202" s="477">
        <f t="shared" si="6"/>
        <v>424065.19736842107</v>
      </c>
      <c r="G202" s="954">
        <f t="shared" si="8"/>
        <v>63385.937681620351</v>
      </c>
      <c r="H202" s="957">
        <f t="shared" si="9"/>
        <v>63385.937681620351</v>
      </c>
      <c r="I202" s="516">
        <f t="shared" si="10"/>
        <v>0</v>
      </c>
      <c r="J202" s="516"/>
      <c r="K202" s="652"/>
      <c r="L202" s="522"/>
      <c r="M202" s="652"/>
      <c r="N202" s="522"/>
      <c r="O202" s="522"/>
    </row>
    <row r="203" spans="3:15">
      <c r="C203" s="512">
        <f>IF(D186="","-",+C202+1)</f>
        <v>2024</v>
      </c>
      <c r="D203" s="477">
        <f t="shared" si="7"/>
        <v>424065.19736842107</v>
      </c>
      <c r="E203" s="519">
        <f t="shared" si="11"/>
        <v>15420.552631578947</v>
      </c>
      <c r="F203" s="477">
        <f t="shared" si="6"/>
        <v>408644.64473684214</v>
      </c>
      <c r="G203" s="954">
        <f t="shared" si="8"/>
        <v>61672.888215547435</v>
      </c>
      <c r="H203" s="957">
        <f t="shared" si="9"/>
        <v>61672.888215547435</v>
      </c>
      <c r="I203" s="516">
        <f t="shared" si="10"/>
        <v>0</v>
      </c>
      <c r="J203" s="516"/>
      <c r="K203" s="652"/>
      <c r="L203" s="522"/>
      <c r="M203" s="652"/>
      <c r="N203" s="522"/>
      <c r="O203" s="522"/>
    </row>
    <row r="204" spans="3:15">
      <c r="C204" s="512">
        <f>IF(D186="","-",+C203+1)</f>
        <v>2025</v>
      </c>
      <c r="D204" s="477">
        <f t="shared" si="7"/>
        <v>408644.64473684214</v>
      </c>
      <c r="E204" s="519">
        <f t="shared" si="11"/>
        <v>15420.552631578947</v>
      </c>
      <c r="F204" s="477">
        <f t="shared" si="6"/>
        <v>393224.0921052632</v>
      </c>
      <c r="G204" s="954">
        <f t="shared" si="8"/>
        <v>59959.83874947454</v>
      </c>
      <c r="H204" s="957">
        <f t="shared" si="9"/>
        <v>59959.83874947454</v>
      </c>
      <c r="I204" s="516">
        <f t="shared" si="10"/>
        <v>0</v>
      </c>
      <c r="J204" s="516"/>
      <c r="K204" s="652"/>
      <c r="L204" s="522"/>
      <c r="M204" s="652"/>
      <c r="N204" s="522"/>
      <c r="O204" s="522"/>
    </row>
    <row r="205" spans="3:15">
      <c r="C205" s="512">
        <f>IF(D186="","-",+C204+1)</f>
        <v>2026</v>
      </c>
      <c r="D205" s="477">
        <f t="shared" si="7"/>
        <v>393224.0921052632</v>
      </c>
      <c r="E205" s="519">
        <f t="shared" si="11"/>
        <v>15420.552631578947</v>
      </c>
      <c r="F205" s="477">
        <f t="shared" si="6"/>
        <v>377803.53947368427</v>
      </c>
      <c r="G205" s="954">
        <f t="shared" si="8"/>
        <v>58246.789283401624</v>
      </c>
      <c r="H205" s="957">
        <f t="shared" si="9"/>
        <v>58246.789283401624</v>
      </c>
      <c r="I205" s="516">
        <f t="shared" si="10"/>
        <v>0</v>
      </c>
      <c r="J205" s="516"/>
      <c r="K205" s="652"/>
      <c r="L205" s="522"/>
      <c r="M205" s="652"/>
      <c r="N205" s="522"/>
      <c r="O205" s="522"/>
    </row>
    <row r="206" spans="3:15">
      <c r="C206" s="512">
        <f>IF(D186="","-",+C205+1)</f>
        <v>2027</v>
      </c>
      <c r="D206" s="477">
        <f t="shared" si="7"/>
        <v>377803.53947368427</v>
      </c>
      <c r="E206" s="519">
        <f t="shared" si="11"/>
        <v>15420.552631578947</v>
      </c>
      <c r="F206" s="477">
        <f t="shared" si="6"/>
        <v>362382.98684210534</v>
      </c>
      <c r="G206" s="954">
        <f t="shared" si="8"/>
        <v>56533.739817328729</v>
      </c>
      <c r="H206" s="957">
        <f t="shared" si="9"/>
        <v>56533.739817328729</v>
      </c>
      <c r="I206" s="516">
        <f t="shared" si="10"/>
        <v>0</v>
      </c>
      <c r="J206" s="516"/>
      <c r="K206" s="652"/>
      <c r="L206" s="522"/>
      <c r="M206" s="652"/>
      <c r="N206" s="522"/>
      <c r="O206" s="522"/>
    </row>
    <row r="207" spans="3:15">
      <c r="C207" s="512">
        <f>IF(D186="","-",+C206+1)</f>
        <v>2028</v>
      </c>
      <c r="D207" s="477">
        <f t="shared" si="7"/>
        <v>362382.98684210534</v>
      </c>
      <c r="E207" s="519">
        <f t="shared" si="11"/>
        <v>15420.552631578947</v>
      </c>
      <c r="F207" s="477">
        <f t="shared" si="6"/>
        <v>346962.43421052641</v>
      </c>
      <c r="G207" s="954">
        <f t="shared" si="8"/>
        <v>54820.690351255813</v>
      </c>
      <c r="H207" s="957">
        <f t="shared" si="9"/>
        <v>54820.690351255813</v>
      </c>
      <c r="I207" s="516">
        <f t="shared" si="10"/>
        <v>0</v>
      </c>
      <c r="J207" s="516"/>
      <c r="K207" s="652"/>
      <c r="L207" s="522"/>
      <c r="M207" s="652"/>
      <c r="N207" s="522"/>
      <c r="O207" s="522"/>
    </row>
    <row r="208" spans="3:15">
      <c r="C208" s="512">
        <f>IF(D186="","-",+C207+1)</f>
        <v>2029</v>
      </c>
      <c r="D208" s="477">
        <f t="shared" si="7"/>
        <v>346962.43421052641</v>
      </c>
      <c r="E208" s="519">
        <f t="shared" si="11"/>
        <v>15420.552631578947</v>
      </c>
      <c r="F208" s="477">
        <f t="shared" si="6"/>
        <v>331541.88157894748</v>
      </c>
      <c r="G208" s="954">
        <f t="shared" si="8"/>
        <v>53107.640885182918</v>
      </c>
      <c r="H208" s="957">
        <f t="shared" si="9"/>
        <v>53107.640885182918</v>
      </c>
      <c r="I208" s="516">
        <f t="shared" si="10"/>
        <v>0</v>
      </c>
      <c r="J208" s="516"/>
      <c r="K208" s="652"/>
      <c r="L208" s="522"/>
      <c r="M208" s="652"/>
      <c r="N208" s="522"/>
      <c r="O208" s="522"/>
    </row>
    <row r="209" spans="3:15">
      <c r="C209" s="512">
        <f>IF(D186="","-",+C208+1)</f>
        <v>2030</v>
      </c>
      <c r="D209" s="477">
        <f t="shared" si="7"/>
        <v>331541.88157894748</v>
      </c>
      <c r="E209" s="519">
        <f t="shared" si="11"/>
        <v>15420.552631578947</v>
      </c>
      <c r="F209" s="477">
        <f t="shared" si="6"/>
        <v>316121.32894736854</v>
      </c>
      <c r="G209" s="954">
        <f t="shared" si="8"/>
        <v>51394.591419110002</v>
      </c>
      <c r="H209" s="957">
        <f t="shared" si="9"/>
        <v>51394.591419110002</v>
      </c>
      <c r="I209" s="516">
        <f t="shared" si="10"/>
        <v>0</v>
      </c>
      <c r="J209" s="516"/>
      <c r="K209" s="652"/>
      <c r="L209" s="522"/>
      <c r="M209" s="652"/>
      <c r="N209" s="522"/>
      <c r="O209" s="522"/>
    </row>
    <row r="210" spans="3:15">
      <c r="C210" s="512">
        <f>IF(D186="","-",+C209+1)</f>
        <v>2031</v>
      </c>
      <c r="D210" s="477">
        <f t="shared" si="7"/>
        <v>316121.32894736854</v>
      </c>
      <c r="E210" s="519">
        <f t="shared" si="11"/>
        <v>15420.552631578947</v>
      </c>
      <c r="F210" s="477">
        <f t="shared" si="6"/>
        <v>300700.77631578961</v>
      </c>
      <c r="G210" s="954">
        <f t="shared" si="8"/>
        <v>49681.541953037107</v>
      </c>
      <c r="H210" s="957">
        <f t="shared" si="9"/>
        <v>49681.541953037107</v>
      </c>
      <c r="I210" s="516">
        <f t="shared" si="10"/>
        <v>0</v>
      </c>
      <c r="J210" s="516"/>
      <c r="K210" s="652"/>
      <c r="L210" s="522"/>
      <c r="M210" s="652"/>
      <c r="N210" s="522"/>
      <c r="O210" s="522"/>
    </row>
    <row r="211" spans="3:15">
      <c r="C211" s="512">
        <f>IF(D186="","-",+C210+1)</f>
        <v>2032</v>
      </c>
      <c r="D211" s="477">
        <f t="shared" si="7"/>
        <v>300700.77631578961</v>
      </c>
      <c r="E211" s="519">
        <f t="shared" si="11"/>
        <v>15420.552631578947</v>
      </c>
      <c r="F211" s="477">
        <f t="shared" si="6"/>
        <v>285280.22368421068</v>
      </c>
      <c r="G211" s="954">
        <f t="shared" si="8"/>
        <v>47968.492486964198</v>
      </c>
      <c r="H211" s="957">
        <f t="shared" si="9"/>
        <v>47968.492486964198</v>
      </c>
      <c r="I211" s="516">
        <f t="shared" si="10"/>
        <v>0</v>
      </c>
      <c r="J211" s="516"/>
      <c r="K211" s="652"/>
      <c r="L211" s="522"/>
      <c r="M211" s="652"/>
      <c r="N211" s="522"/>
      <c r="O211" s="522"/>
    </row>
    <row r="212" spans="3:15">
      <c r="C212" s="512">
        <f>IF(D186="","-",+C211+1)</f>
        <v>2033</v>
      </c>
      <c r="D212" s="477">
        <f t="shared" si="7"/>
        <v>285280.22368421068</v>
      </c>
      <c r="E212" s="519">
        <f t="shared" si="11"/>
        <v>15420.552631578947</v>
      </c>
      <c r="F212" s="477">
        <f t="shared" si="6"/>
        <v>269859.67105263175</v>
      </c>
      <c r="G212" s="954">
        <f t="shared" si="8"/>
        <v>46255.443020891296</v>
      </c>
      <c r="H212" s="957">
        <f t="shared" si="9"/>
        <v>46255.443020891296</v>
      </c>
      <c r="I212" s="516">
        <f t="shared" si="10"/>
        <v>0</v>
      </c>
      <c r="J212" s="516"/>
      <c r="K212" s="652"/>
      <c r="L212" s="522"/>
      <c r="M212" s="652"/>
      <c r="N212" s="522"/>
      <c r="O212" s="522"/>
    </row>
    <row r="213" spans="3:15">
      <c r="C213" s="512">
        <f>IF(D186="","-",+C212+1)</f>
        <v>2034</v>
      </c>
      <c r="D213" s="477">
        <f t="shared" si="7"/>
        <v>269859.67105263175</v>
      </c>
      <c r="E213" s="519">
        <f t="shared" si="11"/>
        <v>15420.552631578947</v>
      </c>
      <c r="F213" s="477">
        <f t="shared" si="6"/>
        <v>254439.11842105282</v>
      </c>
      <c r="G213" s="954">
        <f t="shared" si="8"/>
        <v>44542.39355481838</v>
      </c>
      <c r="H213" s="957">
        <f t="shared" si="9"/>
        <v>44542.39355481838</v>
      </c>
      <c r="I213" s="516">
        <f t="shared" si="10"/>
        <v>0</v>
      </c>
      <c r="J213" s="516"/>
      <c r="K213" s="652"/>
      <c r="L213" s="522"/>
      <c r="M213" s="652"/>
      <c r="N213" s="522"/>
      <c r="O213" s="522"/>
    </row>
    <row r="214" spans="3:15">
      <c r="C214" s="512">
        <f>IF(D186="","-",+C213+1)</f>
        <v>2035</v>
      </c>
      <c r="D214" s="477">
        <f t="shared" si="7"/>
        <v>254439.11842105282</v>
      </c>
      <c r="E214" s="519">
        <f t="shared" si="11"/>
        <v>15420.552631578947</v>
      </c>
      <c r="F214" s="477">
        <f t="shared" si="6"/>
        <v>239018.56578947388</v>
      </c>
      <c r="G214" s="954">
        <f t="shared" si="8"/>
        <v>42829.344088745478</v>
      </c>
      <c r="H214" s="957">
        <f t="shared" si="9"/>
        <v>42829.344088745478</v>
      </c>
      <c r="I214" s="516">
        <f t="shared" si="10"/>
        <v>0</v>
      </c>
      <c r="J214" s="516"/>
      <c r="K214" s="652"/>
      <c r="L214" s="522"/>
      <c r="M214" s="652"/>
      <c r="N214" s="522"/>
      <c r="O214" s="522"/>
    </row>
    <row r="215" spans="3:15">
      <c r="C215" s="512">
        <f>IF(D186="","-",+C214+1)</f>
        <v>2036</v>
      </c>
      <c r="D215" s="477">
        <f t="shared" si="7"/>
        <v>239018.56578947388</v>
      </c>
      <c r="E215" s="519">
        <f t="shared" si="11"/>
        <v>15420.552631578947</v>
      </c>
      <c r="F215" s="477">
        <f t="shared" si="6"/>
        <v>223598.01315789495</v>
      </c>
      <c r="G215" s="954">
        <f t="shared" si="8"/>
        <v>41116.294622672576</v>
      </c>
      <c r="H215" s="957">
        <f t="shared" si="9"/>
        <v>41116.294622672576</v>
      </c>
      <c r="I215" s="516">
        <f t="shared" si="10"/>
        <v>0</v>
      </c>
      <c r="J215" s="516"/>
      <c r="K215" s="652"/>
      <c r="L215" s="522"/>
      <c r="M215" s="652"/>
      <c r="N215" s="522"/>
      <c r="O215" s="522"/>
    </row>
    <row r="216" spans="3:15">
      <c r="C216" s="512">
        <f>IF(D186="","-",+C215+1)</f>
        <v>2037</v>
      </c>
      <c r="D216" s="477">
        <f t="shared" si="7"/>
        <v>223598.01315789495</v>
      </c>
      <c r="E216" s="519">
        <f t="shared" si="11"/>
        <v>15420.552631578947</v>
      </c>
      <c r="F216" s="477">
        <f t="shared" si="6"/>
        <v>208177.46052631602</v>
      </c>
      <c r="G216" s="954">
        <f t="shared" si="8"/>
        <v>39403.245156599674</v>
      </c>
      <c r="H216" s="957">
        <f t="shared" si="9"/>
        <v>39403.245156599674</v>
      </c>
      <c r="I216" s="516">
        <f t="shared" si="10"/>
        <v>0</v>
      </c>
      <c r="J216" s="516"/>
      <c r="K216" s="652"/>
      <c r="L216" s="522"/>
      <c r="M216" s="652"/>
      <c r="N216" s="522"/>
      <c r="O216" s="522"/>
    </row>
    <row r="217" spans="3:15">
      <c r="C217" s="512">
        <f>IF(D186="","-",+C216+1)</f>
        <v>2038</v>
      </c>
      <c r="D217" s="477">
        <f t="shared" si="7"/>
        <v>208177.46052631602</v>
      </c>
      <c r="E217" s="519">
        <f t="shared" si="11"/>
        <v>15420.552631578947</v>
      </c>
      <c r="F217" s="477">
        <f t="shared" si="6"/>
        <v>192756.90789473709</v>
      </c>
      <c r="G217" s="954">
        <f t="shared" si="8"/>
        <v>37690.195690526765</v>
      </c>
      <c r="H217" s="957">
        <f t="shared" si="9"/>
        <v>37690.195690526765</v>
      </c>
      <c r="I217" s="516">
        <f t="shared" si="10"/>
        <v>0</v>
      </c>
      <c r="J217" s="516"/>
      <c r="K217" s="652"/>
      <c r="L217" s="522"/>
      <c r="M217" s="652"/>
      <c r="N217" s="522"/>
      <c r="O217" s="522"/>
    </row>
    <row r="218" spans="3:15">
      <c r="C218" s="512">
        <f>IF(D186="","-",+C217+1)</f>
        <v>2039</v>
      </c>
      <c r="D218" s="477">
        <f t="shared" si="7"/>
        <v>192756.90789473709</v>
      </c>
      <c r="E218" s="519">
        <f t="shared" si="11"/>
        <v>15420.552631578947</v>
      </c>
      <c r="F218" s="477">
        <f t="shared" si="6"/>
        <v>177336.35526315816</v>
      </c>
      <c r="G218" s="954">
        <f t="shared" si="8"/>
        <v>35977.146224453856</v>
      </c>
      <c r="H218" s="957">
        <f t="shared" si="9"/>
        <v>35977.146224453856</v>
      </c>
      <c r="I218" s="516">
        <f t="shared" si="10"/>
        <v>0</v>
      </c>
      <c r="J218" s="516"/>
      <c r="K218" s="652"/>
      <c r="L218" s="522"/>
      <c r="M218" s="652"/>
      <c r="N218" s="522"/>
      <c r="O218" s="522"/>
    </row>
    <row r="219" spans="3:15">
      <c r="C219" s="512">
        <f>IF(D186="","-",+C218+1)</f>
        <v>2040</v>
      </c>
      <c r="D219" s="477">
        <f t="shared" si="7"/>
        <v>177336.35526315816</v>
      </c>
      <c r="E219" s="519">
        <f t="shared" si="11"/>
        <v>15420.552631578947</v>
      </c>
      <c r="F219" s="477">
        <f t="shared" si="6"/>
        <v>161915.80263157922</v>
      </c>
      <c r="G219" s="954">
        <f t="shared" si="8"/>
        <v>34264.096758380954</v>
      </c>
      <c r="H219" s="957">
        <f t="shared" si="9"/>
        <v>34264.096758380954</v>
      </c>
      <c r="I219" s="516">
        <f t="shared" si="10"/>
        <v>0</v>
      </c>
      <c r="J219" s="516"/>
      <c r="K219" s="652"/>
      <c r="L219" s="522"/>
      <c r="M219" s="652"/>
      <c r="N219" s="522"/>
      <c r="O219" s="522"/>
    </row>
    <row r="220" spans="3:15">
      <c r="C220" s="512">
        <f>IF(D186="","-",+C219+1)</f>
        <v>2041</v>
      </c>
      <c r="D220" s="477">
        <f t="shared" si="7"/>
        <v>161915.80263157922</v>
      </c>
      <c r="E220" s="519">
        <f t="shared" si="11"/>
        <v>15420.552631578947</v>
      </c>
      <c r="F220" s="477">
        <f t="shared" si="6"/>
        <v>146495.25000000029</v>
      </c>
      <c r="G220" s="965">
        <f t="shared" si="8"/>
        <v>32551.047292308049</v>
      </c>
      <c r="H220" s="957">
        <f t="shared" si="9"/>
        <v>32551.047292308049</v>
      </c>
      <c r="I220" s="516">
        <f t="shared" si="10"/>
        <v>0</v>
      </c>
      <c r="J220" s="516"/>
      <c r="K220" s="652"/>
      <c r="L220" s="522"/>
      <c r="M220" s="652"/>
      <c r="N220" s="522"/>
      <c r="O220" s="522"/>
    </row>
    <row r="221" spans="3:15">
      <c r="C221" s="512">
        <f>IF(D186="","-",+C220+1)</f>
        <v>2042</v>
      </c>
      <c r="D221" s="477">
        <f t="shared" si="7"/>
        <v>146495.25000000029</v>
      </c>
      <c r="E221" s="519">
        <f t="shared" si="11"/>
        <v>15420.552631578947</v>
      </c>
      <c r="F221" s="477">
        <f t="shared" si="6"/>
        <v>131074.69736842136</v>
      </c>
      <c r="G221" s="954">
        <f t="shared" si="8"/>
        <v>30837.997826235143</v>
      </c>
      <c r="H221" s="957">
        <f t="shared" si="9"/>
        <v>30837.997826235143</v>
      </c>
      <c r="I221" s="516">
        <f t="shared" si="10"/>
        <v>0</v>
      </c>
      <c r="J221" s="516"/>
      <c r="K221" s="652"/>
      <c r="L221" s="522"/>
      <c r="M221" s="652"/>
      <c r="N221" s="522"/>
      <c r="O221" s="522"/>
    </row>
    <row r="222" spans="3:15">
      <c r="C222" s="512">
        <f>IF(D186="","-",+C221+1)</f>
        <v>2043</v>
      </c>
      <c r="D222" s="477">
        <f t="shared" si="7"/>
        <v>131074.69736842136</v>
      </c>
      <c r="E222" s="519">
        <f t="shared" si="11"/>
        <v>15420.552631578947</v>
      </c>
      <c r="F222" s="477">
        <f t="shared" si="6"/>
        <v>115654.14473684241</v>
      </c>
      <c r="G222" s="954">
        <f t="shared" si="8"/>
        <v>29124.948360162238</v>
      </c>
      <c r="H222" s="957">
        <f t="shared" si="9"/>
        <v>29124.948360162238</v>
      </c>
      <c r="I222" s="516">
        <f t="shared" si="10"/>
        <v>0</v>
      </c>
      <c r="J222" s="516"/>
      <c r="K222" s="652"/>
      <c r="L222" s="522"/>
      <c r="M222" s="652"/>
      <c r="N222" s="522"/>
      <c r="O222" s="522"/>
    </row>
    <row r="223" spans="3:15">
      <c r="C223" s="512">
        <f>IF(D186="","-",+C222+1)</f>
        <v>2044</v>
      </c>
      <c r="D223" s="477">
        <f t="shared" si="7"/>
        <v>115654.14473684241</v>
      </c>
      <c r="E223" s="519">
        <f t="shared" si="11"/>
        <v>15420.552631578947</v>
      </c>
      <c r="F223" s="477">
        <f t="shared" si="6"/>
        <v>100233.59210526347</v>
      </c>
      <c r="G223" s="954">
        <f t="shared" si="8"/>
        <v>27411.898894089329</v>
      </c>
      <c r="H223" s="957">
        <f t="shared" si="9"/>
        <v>27411.898894089329</v>
      </c>
      <c r="I223" s="516">
        <f t="shared" si="10"/>
        <v>0</v>
      </c>
      <c r="J223" s="516"/>
      <c r="K223" s="652"/>
      <c r="L223" s="522"/>
      <c r="M223" s="652"/>
      <c r="N223" s="522"/>
      <c r="O223" s="522"/>
    </row>
    <row r="224" spans="3:15">
      <c r="C224" s="512">
        <f>IF(D186="","-",+C223+1)</f>
        <v>2045</v>
      </c>
      <c r="D224" s="477">
        <f t="shared" si="7"/>
        <v>100233.59210526347</v>
      </c>
      <c r="E224" s="519">
        <f t="shared" si="11"/>
        <v>15420.552631578947</v>
      </c>
      <c r="F224" s="477">
        <f t="shared" si="6"/>
        <v>84813.039473684519</v>
      </c>
      <c r="G224" s="954">
        <f t="shared" si="8"/>
        <v>25698.849428016423</v>
      </c>
      <c r="H224" s="957">
        <f t="shared" si="9"/>
        <v>25698.849428016423</v>
      </c>
      <c r="I224" s="516">
        <f t="shared" si="10"/>
        <v>0</v>
      </c>
      <c r="J224" s="516"/>
      <c r="K224" s="652"/>
      <c r="L224" s="522"/>
      <c r="M224" s="652"/>
      <c r="N224" s="522"/>
      <c r="O224" s="522"/>
    </row>
    <row r="225" spans="3:15">
      <c r="C225" s="512">
        <f>IF(D186="","-",+C224+1)</f>
        <v>2046</v>
      </c>
      <c r="D225" s="477">
        <f t="shared" si="7"/>
        <v>84813.039473684519</v>
      </c>
      <c r="E225" s="519">
        <f t="shared" si="11"/>
        <v>15420.552631578947</v>
      </c>
      <c r="F225" s="477">
        <f t="shared" si="6"/>
        <v>69392.486842105573</v>
      </c>
      <c r="G225" s="954">
        <f t="shared" si="8"/>
        <v>23985.799961943514</v>
      </c>
      <c r="H225" s="957">
        <f t="shared" si="9"/>
        <v>23985.799961943514</v>
      </c>
      <c r="I225" s="516">
        <f t="shared" si="10"/>
        <v>0</v>
      </c>
      <c r="J225" s="516"/>
      <c r="K225" s="652"/>
      <c r="L225" s="522"/>
      <c r="M225" s="652"/>
      <c r="N225" s="522"/>
      <c r="O225" s="522"/>
    </row>
    <row r="226" spans="3:15">
      <c r="C226" s="512">
        <f>IF(D186="","-",+C225+1)</f>
        <v>2047</v>
      </c>
      <c r="D226" s="477">
        <f t="shared" si="7"/>
        <v>69392.486842105573</v>
      </c>
      <c r="E226" s="519">
        <f t="shared" si="11"/>
        <v>15420.552631578947</v>
      </c>
      <c r="F226" s="477">
        <f t="shared" si="6"/>
        <v>53971.934210526626</v>
      </c>
      <c r="G226" s="954">
        <f t="shared" si="8"/>
        <v>22272.750495870609</v>
      </c>
      <c r="H226" s="957">
        <f t="shared" si="9"/>
        <v>22272.750495870609</v>
      </c>
      <c r="I226" s="516">
        <f t="shared" si="10"/>
        <v>0</v>
      </c>
      <c r="J226" s="516"/>
      <c r="K226" s="652"/>
      <c r="L226" s="522"/>
      <c r="M226" s="652"/>
      <c r="N226" s="522"/>
      <c r="O226" s="522"/>
    </row>
    <row r="227" spans="3:15">
      <c r="C227" s="512">
        <f>IF(D186="","-",+C226+1)</f>
        <v>2048</v>
      </c>
      <c r="D227" s="477">
        <f t="shared" si="7"/>
        <v>53971.934210526626</v>
      </c>
      <c r="E227" s="519">
        <f t="shared" si="11"/>
        <v>15420.552631578947</v>
      </c>
      <c r="F227" s="477">
        <f t="shared" si="6"/>
        <v>38551.381578947679</v>
      </c>
      <c r="G227" s="954">
        <f t="shared" si="8"/>
        <v>20559.701029797703</v>
      </c>
      <c r="H227" s="957">
        <f t="shared" si="9"/>
        <v>20559.701029797703</v>
      </c>
      <c r="I227" s="516">
        <f t="shared" si="10"/>
        <v>0</v>
      </c>
      <c r="J227" s="516"/>
      <c r="K227" s="652"/>
      <c r="L227" s="522"/>
      <c r="M227" s="652"/>
      <c r="N227" s="522"/>
      <c r="O227" s="522"/>
    </row>
    <row r="228" spans="3:15">
      <c r="C228" s="512">
        <f>IF(D186="","-",+C227+1)</f>
        <v>2049</v>
      </c>
      <c r="D228" s="477">
        <f t="shared" si="7"/>
        <v>38551.381578947679</v>
      </c>
      <c r="E228" s="519">
        <f t="shared" si="11"/>
        <v>15420.552631578947</v>
      </c>
      <c r="F228" s="477">
        <f t="shared" si="6"/>
        <v>23130.828947368733</v>
      </c>
      <c r="G228" s="954">
        <f t="shared" si="8"/>
        <v>18846.651563724794</v>
      </c>
      <c r="H228" s="957">
        <f t="shared" si="9"/>
        <v>18846.651563724794</v>
      </c>
      <c r="I228" s="516">
        <f t="shared" si="10"/>
        <v>0</v>
      </c>
      <c r="J228" s="516"/>
      <c r="K228" s="652"/>
      <c r="L228" s="522"/>
      <c r="M228" s="652"/>
      <c r="N228" s="522"/>
      <c r="O228" s="522"/>
    </row>
    <row r="229" spans="3:15">
      <c r="C229" s="512">
        <f>IF(D186="","-",+C228+1)</f>
        <v>2050</v>
      </c>
      <c r="D229" s="477">
        <f t="shared" si="7"/>
        <v>23130.828947368733</v>
      </c>
      <c r="E229" s="519">
        <f t="shared" si="11"/>
        <v>15420.552631578947</v>
      </c>
      <c r="F229" s="477">
        <f t="shared" si="6"/>
        <v>7710.2763157897862</v>
      </c>
      <c r="G229" s="954">
        <f t="shared" si="8"/>
        <v>17133.602097651888</v>
      </c>
      <c r="H229" s="957">
        <f t="shared" si="9"/>
        <v>17133.602097651888</v>
      </c>
      <c r="I229" s="516">
        <f t="shared" si="10"/>
        <v>0</v>
      </c>
      <c r="J229" s="516"/>
      <c r="K229" s="652"/>
      <c r="L229" s="522"/>
      <c r="M229" s="652"/>
      <c r="N229" s="522"/>
      <c r="O229" s="522"/>
    </row>
    <row r="230" spans="3:15">
      <c r="C230" s="512">
        <f>IF(D186="","-",+C229+1)</f>
        <v>2051</v>
      </c>
      <c r="D230" s="477">
        <f t="shared" si="7"/>
        <v>7710.2763157897862</v>
      </c>
      <c r="E230" s="519">
        <f t="shared" si="11"/>
        <v>7710.2763157897862</v>
      </c>
      <c r="F230" s="477">
        <f t="shared" si="6"/>
        <v>0</v>
      </c>
      <c r="G230" s="954">
        <f t="shared" si="8"/>
        <v>8138.5386823080298</v>
      </c>
      <c r="H230" s="957">
        <f t="shared" si="9"/>
        <v>8138.5386823080298</v>
      </c>
      <c r="I230" s="516">
        <f t="shared" si="10"/>
        <v>0</v>
      </c>
      <c r="J230" s="516"/>
      <c r="K230" s="652"/>
      <c r="L230" s="522"/>
      <c r="M230" s="652"/>
      <c r="N230" s="522"/>
      <c r="O230" s="522"/>
    </row>
    <row r="231" spans="3:15">
      <c r="C231" s="512">
        <f>IF(D186="","-",+C230+1)</f>
        <v>2052</v>
      </c>
      <c r="D231" s="477">
        <f t="shared" si="7"/>
        <v>0</v>
      </c>
      <c r="E231" s="519">
        <f t="shared" si="11"/>
        <v>0</v>
      </c>
      <c r="F231" s="477">
        <f t="shared" si="6"/>
        <v>0</v>
      </c>
      <c r="G231" s="954">
        <f t="shared" si="8"/>
        <v>0</v>
      </c>
      <c r="H231" s="957">
        <f t="shared" si="9"/>
        <v>0</v>
      </c>
      <c r="I231" s="516">
        <f t="shared" si="10"/>
        <v>0</v>
      </c>
      <c r="J231" s="516"/>
      <c r="K231" s="652"/>
      <c r="L231" s="522"/>
      <c r="M231" s="652"/>
      <c r="N231" s="522"/>
      <c r="O231" s="522"/>
    </row>
    <row r="232" spans="3:15">
      <c r="C232" s="512">
        <f>IF(D186="","-",+C231+1)</f>
        <v>2053</v>
      </c>
      <c r="D232" s="477">
        <f t="shared" si="7"/>
        <v>0</v>
      </c>
      <c r="E232" s="519">
        <f t="shared" si="11"/>
        <v>0</v>
      </c>
      <c r="F232" s="477">
        <f t="shared" si="6"/>
        <v>0</v>
      </c>
      <c r="G232" s="954">
        <f t="shared" si="8"/>
        <v>0</v>
      </c>
      <c r="H232" s="957">
        <f t="shared" si="9"/>
        <v>0</v>
      </c>
      <c r="I232" s="516">
        <f t="shared" si="10"/>
        <v>0</v>
      </c>
      <c r="J232" s="516"/>
      <c r="K232" s="652"/>
      <c r="L232" s="522"/>
      <c r="M232" s="652"/>
      <c r="N232" s="522"/>
      <c r="O232" s="522"/>
    </row>
    <row r="233" spans="3:15">
      <c r="C233" s="512">
        <f>IF(D186="","-",+C232+1)</f>
        <v>2054</v>
      </c>
      <c r="D233" s="477">
        <f t="shared" si="7"/>
        <v>0</v>
      </c>
      <c r="E233" s="519">
        <f t="shared" si="11"/>
        <v>0</v>
      </c>
      <c r="F233" s="477">
        <f t="shared" si="6"/>
        <v>0</v>
      </c>
      <c r="G233" s="954">
        <f t="shared" si="8"/>
        <v>0</v>
      </c>
      <c r="H233" s="957">
        <f t="shared" si="9"/>
        <v>0</v>
      </c>
      <c r="I233" s="516">
        <f t="shared" si="10"/>
        <v>0</v>
      </c>
      <c r="J233" s="516"/>
      <c r="K233" s="652"/>
      <c r="L233" s="522"/>
      <c r="M233" s="652"/>
      <c r="N233" s="522"/>
      <c r="O233" s="522"/>
    </row>
    <row r="234" spans="3:15">
      <c r="C234" s="512">
        <f>IF(D186="","-",+C233+1)</f>
        <v>2055</v>
      </c>
      <c r="D234" s="477">
        <f t="shared" si="7"/>
        <v>0</v>
      </c>
      <c r="E234" s="519">
        <f t="shared" si="11"/>
        <v>0</v>
      </c>
      <c r="F234" s="477">
        <f t="shared" si="6"/>
        <v>0</v>
      </c>
      <c r="G234" s="954">
        <f t="shared" si="8"/>
        <v>0</v>
      </c>
      <c r="H234" s="957">
        <f t="shared" si="9"/>
        <v>0</v>
      </c>
      <c r="I234" s="516">
        <f t="shared" si="10"/>
        <v>0</v>
      </c>
      <c r="J234" s="516"/>
      <c r="K234" s="652"/>
      <c r="L234" s="522"/>
      <c r="M234" s="652"/>
      <c r="N234" s="522"/>
      <c r="O234" s="522"/>
    </row>
    <row r="235" spans="3:15">
      <c r="C235" s="512">
        <f>IF(D186="","-",+C234+1)</f>
        <v>2056</v>
      </c>
      <c r="D235" s="477">
        <f t="shared" si="7"/>
        <v>0</v>
      </c>
      <c r="E235" s="519">
        <f t="shared" si="11"/>
        <v>0</v>
      </c>
      <c r="F235" s="477">
        <f t="shared" si="6"/>
        <v>0</v>
      </c>
      <c r="G235" s="954">
        <f t="shared" si="8"/>
        <v>0</v>
      </c>
      <c r="H235" s="957">
        <f t="shared" si="9"/>
        <v>0</v>
      </c>
      <c r="I235" s="516">
        <f t="shared" si="10"/>
        <v>0</v>
      </c>
      <c r="J235" s="516"/>
      <c r="K235" s="652"/>
      <c r="L235" s="522"/>
      <c r="M235" s="652"/>
      <c r="N235" s="522"/>
      <c r="O235" s="522"/>
    </row>
    <row r="236" spans="3:15">
      <c r="C236" s="512">
        <f>IF(D186="","-",+C235+1)</f>
        <v>2057</v>
      </c>
      <c r="D236" s="477">
        <f t="shared" si="7"/>
        <v>0</v>
      </c>
      <c r="E236" s="519">
        <f t="shared" si="11"/>
        <v>0</v>
      </c>
      <c r="F236" s="477">
        <f t="shared" si="6"/>
        <v>0</v>
      </c>
      <c r="G236" s="954">
        <f t="shared" si="8"/>
        <v>0</v>
      </c>
      <c r="H236" s="957">
        <f t="shared" si="9"/>
        <v>0</v>
      </c>
      <c r="I236" s="516">
        <f t="shared" si="10"/>
        <v>0</v>
      </c>
      <c r="J236" s="516"/>
      <c r="K236" s="652"/>
      <c r="L236" s="522"/>
      <c r="M236" s="652"/>
      <c r="N236" s="522"/>
      <c r="O236" s="522"/>
    </row>
    <row r="237" spans="3:15">
      <c r="C237" s="512">
        <f>IF(D186="","-",+C236+1)</f>
        <v>2058</v>
      </c>
      <c r="D237" s="477">
        <f t="shared" si="7"/>
        <v>0</v>
      </c>
      <c r="E237" s="519">
        <f t="shared" si="11"/>
        <v>0</v>
      </c>
      <c r="F237" s="477">
        <f t="shared" si="6"/>
        <v>0</v>
      </c>
      <c r="G237" s="954">
        <f t="shared" si="8"/>
        <v>0</v>
      </c>
      <c r="H237" s="957">
        <f t="shared" si="9"/>
        <v>0</v>
      </c>
      <c r="I237" s="516">
        <f t="shared" si="10"/>
        <v>0</v>
      </c>
      <c r="J237" s="516"/>
      <c r="K237" s="652"/>
      <c r="L237" s="522"/>
      <c r="M237" s="652"/>
      <c r="N237" s="522"/>
      <c r="O237" s="522"/>
    </row>
    <row r="238" spans="3:15">
      <c r="C238" s="512">
        <f>IF(D186="","-",+C237+1)</f>
        <v>2059</v>
      </c>
      <c r="D238" s="477">
        <f t="shared" si="7"/>
        <v>0</v>
      </c>
      <c r="E238" s="519">
        <f t="shared" si="11"/>
        <v>0</v>
      </c>
      <c r="F238" s="477">
        <f t="shared" si="6"/>
        <v>0</v>
      </c>
      <c r="G238" s="954">
        <f t="shared" si="8"/>
        <v>0</v>
      </c>
      <c r="H238" s="957">
        <f t="shared" si="9"/>
        <v>0</v>
      </c>
      <c r="I238" s="516">
        <f t="shared" si="10"/>
        <v>0</v>
      </c>
      <c r="J238" s="516"/>
      <c r="K238" s="652"/>
      <c r="L238" s="522"/>
      <c r="M238" s="652"/>
      <c r="N238" s="522"/>
      <c r="O238" s="522"/>
    </row>
    <row r="239" spans="3:15">
      <c r="C239" s="512">
        <f>IF(D186="","-",+C238+1)</f>
        <v>2060</v>
      </c>
      <c r="D239" s="477">
        <f t="shared" si="7"/>
        <v>0</v>
      </c>
      <c r="E239" s="519">
        <f t="shared" si="11"/>
        <v>0</v>
      </c>
      <c r="F239" s="477">
        <f t="shared" si="6"/>
        <v>0</v>
      </c>
      <c r="G239" s="954">
        <f t="shared" si="8"/>
        <v>0</v>
      </c>
      <c r="H239" s="957">
        <f t="shared" si="9"/>
        <v>0</v>
      </c>
      <c r="I239" s="516">
        <f t="shared" si="10"/>
        <v>0</v>
      </c>
      <c r="J239" s="516"/>
      <c r="K239" s="652"/>
      <c r="L239" s="522"/>
      <c r="M239" s="652"/>
      <c r="N239" s="522"/>
      <c r="O239" s="522"/>
    </row>
    <row r="240" spans="3:15">
      <c r="C240" s="512">
        <f>IF(D186="","-",+C239+1)</f>
        <v>2061</v>
      </c>
      <c r="D240" s="477">
        <f t="shared" si="7"/>
        <v>0</v>
      </c>
      <c r="E240" s="519">
        <f t="shared" si="11"/>
        <v>0</v>
      </c>
      <c r="F240" s="477">
        <f t="shared" si="6"/>
        <v>0</v>
      </c>
      <c r="G240" s="954">
        <f t="shared" si="8"/>
        <v>0</v>
      </c>
      <c r="H240" s="957">
        <f t="shared" si="9"/>
        <v>0</v>
      </c>
      <c r="I240" s="516">
        <f t="shared" si="10"/>
        <v>0</v>
      </c>
      <c r="J240" s="516"/>
      <c r="K240" s="652"/>
      <c r="L240" s="522"/>
      <c r="M240" s="652"/>
      <c r="N240" s="522"/>
      <c r="O240" s="522"/>
    </row>
    <row r="241" spans="3:15">
      <c r="C241" s="512">
        <f>IF(D186="","-",+C240+1)</f>
        <v>2062</v>
      </c>
      <c r="D241" s="477">
        <f t="shared" si="7"/>
        <v>0</v>
      </c>
      <c r="E241" s="519">
        <f t="shared" si="11"/>
        <v>0</v>
      </c>
      <c r="F241" s="477">
        <f t="shared" si="6"/>
        <v>0</v>
      </c>
      <c r="G241" s="954">
        <f t="shared" si="8"/>
        <v>0</v>
      </c>
      <c r="H241" s="957">
        <f t="shared" si="9"/>
        <v>0</v>
      </c>
      <c r="I241" s="516">
        <f t="shared" si="10"/>
        <v>0</v>
      </c>
      <c r="J241" s="516"/>
      <c r="K241" s="652"/>
      <c r="L241" s="522"/>
      <c r="M241" s="652"/>
      <c r="N241" s="522"/>
      <c r="O241" s="522"/>
    </row>
    <row r="242" spans="3:15">
      <c r="C242" s="512">
        <f>IF(D186="","-",+C241+1)</f>
        <v>2063</v>
      </c>
      <c r="D242" s="477">
        <f t="shared" si="7"/>
        <v>0</v>
      </c>
      <c r="E242" s="519">
        <f t="shared" si="11"/>
        <v>0</v>
      </c>
      <c r="F242" s="477">
        <f t="shared" si="6"/>
        <v>0</v>
      </c>
      <c r="G242" s="954">
        <f t="shared" si="8"/>
        <v>0</v>
      </c>
      <c r="H242" s="957">
        <f t="shared" si="9"/>
        <v>0</v>
      </c>
      <c r="I242" s="516">
        <f t="shared" si="10"/>
        <v>0</v>
      </c>
      <c r="J242" s="516"/>
      <c r="K242" s="652"/>
      <c r="L242" s="522"/>
      <c r="M242" s="652"/>
      <c r="N242" s="522"/>
      <c r="O242" s="522"/>
    </row>
    <row r="243" spans="3:15">
      <c r="C243" s="512">
        <f>IF(D186="","-",+C242+1)</f>
        <v>2064</v>
      </c>
      <c r="D243" s="477">
        <f t="shared" si="7"/>
        <v>0</v>
      </c>
      <c r="E243" s="519">
        <f t="shared" si="11"/>
        <v>0</v>
      </c>
      <c r="F243" s="477">
        <f t="shared" si="6"/>
        <v>0</v>
      </c>
      <c r="G243" s="954">
        <f t="shared" si="8"/>
        <v>0</v>
      </c>
      <c r="H243" s="957">
        <f t="shared" si="9"/>
        <v>0</v>
      </c>
      <c r="I243" s="516">
        <f t="shared" si="10"/>
        <v>0</v>
      </c>
      <c r="J243" s="516"/>
      <c r="K243" s="652"/>
      <c r="L243" s="522"/>
      <c r="M243" s="652"/>
      <c r="N243" s="522"/>
      <c r="O243" s="522"/>
    </row>
    <row r="244" spans="3:15">
      <c r="C244" s="512">
        <f>IF(D186="","-",+C243+1)</f>
        <v>2065</v>
      </c>
      <c r="D244" s="477">
        <f t="shared" si="7"/>
        <v>0</v>
      </c>
      <c r="E244" s="519">
        <f t="shared" si="11"/>
        <v>0</v>
      </c>
      <c r="F244" s="477">
        <f t="shared" si="6"/>
        <v>0</v>
      </c>
      <c r="G244" s="954">
        <f t="shared" si="8"/>
        <v>0</v>
      </c>
      <c r="H244" s="957">
        <f t="shared" si="9"/>
        <v>0</v>
      </c>
      <c r="I244" s="516">
        <f t="shared" si="10"/>
        <v>0</v>
      </c>
      <c r="J244" s="516"/>
      <c r="K244" s="652"/>
      <c r="L244" s="522"/>
      <c r="M244" s="652"/>
      <c r="N244" s="522"/>
      <c r="O244" s="522"/>
    </row>
    <row r="245" spans="3:15">
      <c r="C245" s="512">
        <f>IF(D186="","-",+C244+1)</f>
        <v>2066</v>
      </c>
      <c r="D245" s="477">
        <f t="shared" si="7"/>
        <v>0</v>
      </c>
      <c r="E245" s="519">
        <f t="shared" si="11"/>
        <v>0</v>
      </c>
      <c r="F245" s="477">
        <f t="shared" si="6"/>
        <v>0</v>
      </c>
      <c r="G245" s="954">
        <f t="shared" si="8"/>
        <v>0</v>
      </c>
      <c r="H245" s="957">
        <f t="shared" si="9"/>
        <v>0</v>
      </c>
      <c r="I245" s="516">
        <f t="shared" si="10"/>
        <v>0</v>
      </c>
      <c r="J245" s="516"/>
      <c r="K245" s="652"/>
      <c r="L245" s="522"/>
      <c r="M245" s="652"/>
      <c r="N245" s="522"/>
      <c r="O245" s="522"/>
    </row>
    <row r="246" spans="3:15">
      <c r="C246" s="512">
        <f>IF(D186="","-",+C245+1)</f>
        <v>2067</v>
      </c>
      <c r="D246" s="477">
        <f t="shared" si="7"/>
        <v>0</v>
      </c>
      <c r="E246" s="519">
        <f t="shared" si="11"/>
        <v>0</v>
      </c>
      <c r="F246" s="477">
        <f t="shared" si="6"/>
        <v>0</v>
      </c>
      <c r="G246" s="954">
        <f t="shared" si="8"/>
        <v>0</v>
      </c>
      <c r="H246" s="957">
        <f t="shared" si="9"/>
        <v>0</v>
      </c>
      <c r="I246" s="516">
        <f t="shared" si="10"/>
        <v>0</v>
      </c>
      <c r="J246" s="516"/>
      <c r="K246" s="652"/>
      <c r="L246" s="522"/>
      <c r="M246" s="652"/>
      <c r="N246" s="522"/>
      <c r="O246" s="522"/>
    </row>
    <row r="247" spans="3:15">
      <c r="C247" s="512">
        <f>IF(D186="","-",+C246+1)</f>
        <v>2068</v>
      </c>
      <c r="D247" s="477">
        <f t="shared" si="7"/>
        <v>0</v>
      </c>
      <c r="E247" s="519">
        <f t="shared" si="11"/>
        <v>0</v>
      </c>
      <c r="F247" s="477">
        <f t="shared" si="6"/>
        <v>0</v>
      </c>
      <c r="G247" s="954">
        <f t="shared" si="8"/>
        <v>0</v>
      </c>
      <c r="H247" s="957">
        <f t="shared" si="9"/>
        <v>0</v>
      </c>
      <c r="I247" s="516">
        <f t="shared" si="10"/>
        <v>0</v>
      </c>
      <c r="J247" s="516"/>
      <c r="K247" s="652"/>
      <c r="L247" s="522"/>
      <c r="M247" s="652"/>
      <c r="N247" s="522"/>
      <c r="O247" s="522"/>
    </row>
    <row r="248" spans="3:15">
      <c r="C248" s="512">
        <f>IF(D186="","-",+C247+1)</f>
        <v>2069</v>
      </c>
      <c r="D248" s="477">
        <f t="shared" si="7"/>
        <v>0</v>
      </c>
      <c r="E248" s="519">
        <f t="shared" si="11"/>
        <v>0</v>
      </c>
      <c r="F248" s="477">
        <f t="shared" si="6"/>
        <v>0</v>
      </c>
      <c r="G248" s="954">
        <f t="shared" si="8"/>
        <v>0</v>
      </c>
      <c r="H248" s="957">
        <f t="shared" si="9"/>
        <v>0</v>
      </c>
      <c r="I248" s="516">
        <f t="shared" si="10"/>
        <v>0</v>
      </c>
      <c r="J248" s="516"/>
      <c r="K248" s="652"/>
      <c r="L248" s="522"/>
      <c r="M248" s="652"/>
      <c r="N248" s="522"/>
      <c r="O248" s="522"/>
    </row>
    <row r="249" spans="3:15">
      <c r="C249" s="512">
        <f>IF(D186="","-",+C248+1)</f>
        <v>2070</v>
      </c>
      <c r="D249" s="477">
        <f t="shared" si="7"/>
        <v>0</v>
      </c>
      <c r="E249" s="519">
        <f t="shared" si="11"/>
        <v>0</v>
      </c>
      <c r="F249" s="477">
        <f t="shared" si="6"/>
        <v>0</v>
      </c>
      <c r="G249" s="954">
        <f t="shared" si="8"/>
        <v>0</v>
      </c>
      <c r="H249" s="957">
        <f t="shared" si="9"/>
        <v>0</v>
      </c>
      <c r="I249" s="516">
        <f t="shared" si="10"/>
        <v>0</v>
      </c>
      <c r="J249" s="516"/>
      <c r="K249" s="652"/>
      <c r="L249" s="522"/>
      <c r="M249" s="652"/>
      <c r="N249" s="522"/>
      <c r="O249" s="522"/>
    </row>
    <row r="250" spans="3:15">
      <c r="C250" s="512">
        <f>IF(D186="","-",+C249+1)</f>
        <v>2071</v>
      </c>
      <c r="D250" s="477">
        <f t="shared" si="7"/>
        <v>0</v>
      </c>
      <c r="E250" s="519">
        <f t="shared" si="11"/>
        <v>0</v>
      </c>
      <c r="F250" s="477">
        <f t="shared" si="6"/>
        <v>0</v>
      </c>
      <c r="G250" s="954">
        <f t="shared" si="8"/>
        <v>0</v>
      </c>
      <c r="H250" s="957">
        <f t="shared" si="9"/>
        <v>0</v>
      </c>
      <c r="I250" s="516">
        <f t="shared" si="10"/>
        <v>0</v>
      </c>
      <c r="J250" s="516"/>
      <c r="K250" s="652"/>
      <c r="L250" s="522"/>
      <c r="M250" s="652"/>
      <c r="N250" s="522"/>
      <c r="O250" s="522"/>
    </row>
    <row r="251" spans="3:15" ht="13.5" thickBot="1">
      <c r="C251" s="523">
        <f>IF(D186="","-",+C250+1)</f>
        <v>2072</v>
      </c>
      <c r="D251" s="524">
        <f t="shared" si="7"/>
        <v>0</v>
      </c>
      <c r="E251" s="525">
        <f t="shared" si="11"/>
        <v>0</v>
      </c>
      <c r="F251" s="524">
        <f t="shared" si="6"/>
        <v>0</v>
      </c>
      <c r="G251" s="966">
        <f t="shared" si="8"/>
        <v>0</v>
      </c>
      <c r="H251" s="966">
        <f t="shared" si="9"/>
        <v>0</v>
      </c>
      <c r="I251" s="527">
        <f t="shared" si="10"/>
        <v>0</v>
      </c>
      <c r="J251" s="516"/>
      <c r="K251" s="653"/>
      <c r="L251" s="529"/>
      <c r="M251" s="653"/>
      <c r="N251" s="529"/>
      <c r="O251" s="529"/>
    </row>
    <row r="252" spans="3:15">
      <c r="C252" s="477" t="s">
        <v>289</v>
      </c>
      <c r="D252" s="936"/>
      <c r="E252" s="936">
        <f>SUM(E192:E251)</f>
        <v>585981.00000000012</v>
      </c>
      <c r="F252" s="936"/>
      <c r="G252" s="936">
        <f>SUM(G192:G251)</f>
        <v>1855350.654360025</v>
      </c>
      <c r="H252" s="936">
        <f>SUM(H192:H251)</f>
        <v>1855350.654360025</v>
      </c>
      <c r="I252" s="936">
        <f>SUM(I192:I251)</f>
        <v>0</v>
      </c>
      <c r="J252" s="936"/>
      <c r="K252" s="936"/>
      <c r="L252" s="936"/>
      <c r="M252" s="936"/>
      <c r="N252" s="936"/>
      <c r="O252" s="4"/>
    </row>
    <row r="253" spans="3:15">
      <c r="D253" s="82"/>
      <c r="E253" s="4"/>
      <c r="F253" s="4"/>
      <c r="G253" s="4"/>
      <c r="H253" s="935"/>
      <c r="I253" s="935"/>
      <c r="J253" s="936"/>
      <c r="K253" s="935"/>
      <c r="L253" s="935"/>
      <c r="M253" s="935"/>
      <c r="N253" s="935"/>
      <c r="O253" s="4"/>
    </row>
    <row r="254" spans="3:15">
      <c r="C254" s="561" t="s">
        <v>931</v>
      </c>
      <c r="D254" s="82"/>
      <c r="E254" s="4"/>
      <c r="F254" s="4"/>
      <c r="G254" s="4"/>
      <c r="H254" s="935"/>
      <c r="I254" s="935"/>
      <c r="J254" s="936"/>
      <c r="K254" s="935"/>
      <c r="L254" s="935"/>
      <c r="M254" s="935"/>
      <c r="N254" s="935"/>
      <c r="O254" s="4"/>
    </row>
    <row r="255" spans="3:15">
      <c r="D255" s="82"/>
      <c r="E255" s="4"/>
      <c r="F255" s="4"/>
      <c r="G255" s="4"/>
      <c r="H255" s="935"/>
      <c r="I255" s="935"/>
      <c r="J255" s="936"/>
      <c r="K255" s="935"/>
      <c r="L255" s="935"/>
      <c r="M255" s="935"/>
      <c r="N255" s="935"/>
      <c r="O255" s="4"/>
    </row>
    <row r="256" spans="3:15">
      <c r="C256" s="489" t="s">
        <v>932</v>
      </c>
      <c r="D256" s="477"/>
      <c r="E256" s="477"/>
      <c r="F256" s="477"/>
      <c r="G256" s="936"/>
      <c r="H256" s="936"/>
      <c r="I256" s="479"/>
      <c r="J256" s="479"/>
      <c r="K256" s="479"/>
      <c r="L256" s="479"/>
      <c r="M256" s="479"/>
      <c r="N256" s="479"/>
      <c r="O256" s="4"/>
    </row>
    <row r="257" spans="1:16">
      <c r="C257" s="478" t="s">
        <v>477</v>
      </c>
      <c r="D257" s="477"/>
      <c r="E257" s="477"/>
      <c r="F257" s="477"/>
      <c r="G257" s="936"/>
      <c r="H257" s="936"/>
      <c r="I257" s="479"/>
      <c r="J257" s="479"/>
      <c r="K257" s="479"/>
      <c r="L257" s="479"/>
      <c r="M257" s="479"/>
      <c r="N257" s="479"/>
      <c r="O257" s="4"/>
    </row>
    <row r="258" spans="1:16">
      <c r="C258" s="478" t="s">
        <v>290</v>
      </c>
      <c r="D258" s="477"/>
      <c r="E258" s="477"/>
      <c r="F258" s="477"/>
      <c r="G258" s="936"/>
      <c r="H258" s="936"/>
      <c r="I258" s="479"/>
      <c r="J258" s="479"/>
      <c r="K258" s="479"/>
      <c r="L258" s="479"/>
      <c r="M258" s="479"/>
      <c r="N258" s="479"/>
      <c r="O258" s="4"/>
    </row>
    <row r="259" spans="1:16">
      <c r="C259" s="478"/>
      <c r="D259" s="477"/>
      <c r="E259" s="477"/>
      <c r="F259" s="477"/>
      <c r="G259" s="936"/>
      <c r="H259" s="936"/>
      <c r="I259" s="479"/>
      <c r="J259" s="479"/>
      <c r="K259" s="479"/>
      <c r="L259" s="479"/>
      <c r="M259" s="479"/>
      <c r="N259" s="479"/>
      <c r="O259" s="4"/>
    </row>
    <row r="260" spans="1:16">
      <c r="C260" s="1273" t="s">
        <v>461</v>
      </c>
      <c r="D260" s="1273"/>
      <c r="E260" s="1273"/>
      <c r="F260" s="1273"/>
      <c r="G260" s="1273"/>
      <c r="H260" s="1273"/>
      <c r="I260" s="1273"/>
      <c r="J260" s="1273"/>
      <c r="K260" s="1273"/>
      <c r="L260" s="1273"/>
      <c r="M260" s="1273"/>
      <c r="N260" s="1273"/>
      <c r="O260" s="1273"/>
    </row>
    <row r="261" spans="1:16">
      <c r="C261" s="1273"/>
      <c r="D261" s="1273"/>
      <c r="E261" s="1273"/>
      <c r="F261" s="1273"/>
      <c r="G261" s="1273"/>
      <c r="H261" s="1273"/>
      <c r="I261" s="1273"/>
      <c r="J261" s="1273"/>
      <c r="K261" s="1273"/>
      <c r="L261" s="1273"/>
      <c r="M261" s="1273"/>
      <c r="N261" s="1273"/>
      <c r="O261" s="1273"/>
    </row>
    <row r="262" spans="1:16" ht="20.25">
      <c r="A262" s="419" t="s">
        <v>928</v>
      </c>
      <c r="B262" s="4"/>
      <c r="C262" s="4"/>
      <c r="D262" s="82"/>
      <c r="E262" s="4"/>
      <c r="F262" s="84"/>
      <c r="G262" s="4"/>
      <c r="H262" s="935"/>
      <c r="K262" s="11"/>
      <c r="L262" s="11"/>
      <c r="M262" s="11"/>
      <c r="N262" s="11" t="str">
        <f>"Page "&amp;P262&amp;" of "</f>
        <v xml:space="preserve">Page 4 of </v>
      </c>
      <c r="O262" s="420">
        <f>COUNT(P$6:P$59527)</f>
        <v>9</v>
      </c>
      <c r="P262" s="4">
        <v>4</v>
      </c>
    </row>
    <row r="263" spans="1:16">
      <c r="B263" s="4"/>
      <c r="C263" s="4"/>
      <c r="D263" s="82"/>
      <c r="E263" s="4"/>
      <c r="F263" s="4"/>
      <c r="G263" s="4"/>
      <c r="H263" s="935"/>
      <c r="I263" s="4"/>
      <c r="J263" s="4"/>
      <c r="K263" s="4"/>
      <c r="L263" s="4"/>
      <c r="M263" s="4"/>
      <c r="N263" s="4"/>
      <c r="O263" s="4"/>
    </row>
    <row r="264" spans="1:16" ht="18">
      <c r="B264" s="421" t="s">
        <v>175</v>
      </c>
      <c r="C264" s="480" t="s">
        <v>291</v>
      </c>
      <c r="D264" s="82"/>
      <c r="E264" s="4"/>
      <c r="F264" s="4"/>
      <c r="G264" s="4"/>
      <c r="H264" s="935"/>
      <c r="I264" s="935"/>
      <c r="J264" s="936"/>
      <c r="K264" s="935"/>
      <c r="L264" s="935"/>
      <c r="M264" s="935"/>
      <c r="N264" s="935"/>
      <c r="O264" s="4"/>
    </row>
    <row r="265" spans="1:16" ht="18.75">
      <c r="B265" s="421"/>
      <c r="C265" s="13"/>
      <c r="D265" s="82"/>
      <c r="E265" s="4"/>
      <c r="F265" s="4"/>
      <c r="G265" s="4"/>
      <c r="H265" s="935"/>
      <c r="I265" s="935"/>
      <c r="J265" s="936"/>
      <c r="K265" s="935"/>
      <c r="L265" s="935"/>
      <c r="M265" s="935"/>
      <c r="N265" s="935"/>
      <c r="O265" s="4"/>
    </row>
    <row r="266" spans="1:16" ht="18.75">
      <c r="B266" s="421"/>
      <c r="C266" s="13" t="s">
        <v>292</v>
      </c>
      <c r="D266" s="82"/>
      <c r="E266" s="4"/>
      <c r="F266" s="4"/>
      <c r="G266" s="4"/>
      <c r="H266" s="935"/>
      <c r="I266" s="935"/>
      <c r="J266" s="936"/>
      <c r="K266" s="935"/>
      <c r="L266" s="935"/>
      <c r="M266" s="935"/>
      <c r="N266" s="935"/>
      <c r="O266" s="4"/>
    </row>
    <row r="267" spans="1:16" ht="15.75" thickBot="1">
      <c r="C267" s="254"/>
      <c r="D267" s="82"/>
      <c r="E267" s="4"/>
      <c r="F267" s="4"/>
      <c r="G267" s="4"/>
      <c r="H267" s="935"/>
      <c r="I267" s="935"/>
      <c r="J267" s="936"/>
      <c r="K267" s="935"/>
      <c r="L267" s="935"/>
      <c r="M267" s="935"/>
      <c r="N267" s="935"/>
      <c r="O267" s="4"/>
    </row>
    <row r="268" spans="1:16" ht="15.75">
      <c r="C268" s="422" t="s">
        <v>293</v>
      </c>
      <c r="D268" s="82"/>
      <c r="E268" s="4"/>
      <c r="F268" s="4"/>
      <c r="G268" s="937"/>
      <c r="H268" s="4" t="s">
        <v>272</v>
      </c>
      <c r="I268" s="4"/>
      <c r="J268" s="4"/>
      <c r="K268" s="481" t="s">
        <v>297</v>
      </c>
      <c r="L268" s="482"/>
      <c r="M268" s="483"/>
      <c r="N268" s="938">
        <f>VLOOKUP(I274,C281:O340,5)</f>
        <v>2685360.9639568725</v>
      </c>
      <c r="O268" s="4"/>
    </row>
    <row r="269" spans="1:16" ht="15.75">
      <c r="C269" s="422"/>
      <c r="D269" s="82"/>
      <c r="E269" s="4"/>
      <c r="F269" s="4"/>
      <c r="G269" s="4"/>
      <c r="H269" s="939"/>
      <c r="I269" s="939"/>
      <c r="J269" s="940"/>
      <c r="K269" s="486" t="s">
        <v>298</v>
      </c>
      <c r="L269" s="941"/>
      <c r="M269" s="4"/>
      <c r="N269" s="942">
        <f>VLOOKUP(I274,C281:O340,6)</f>
        <v>2685360.9639568725</v>
      </c>
      <c r="O269" s="4"/>
    </row>
    <row r="270" spans="1:16" ht="13.5" thickBot="1">
      <c r="C270" s="487" t="s">
        <v>294</v>
      </c>
      <c r="D270" s="1274" t="s">
        <v>934</v>
      </c>
      <c r="E270" s="1274"/>
      <c r="F270" s="1274"/>
      <c r="G270" s="1274"/>
      <c r="H270" s="1274"/>
      <c r="I270" s="1274"/>
      <c r="J270" s="936"/>
      <c r="K270" s="943" t="s">
        <v>451</v>
      </c>
      <c r="L270" s="944"/>
      <c r="M270" s="944"/>
      <c r="N270" s="945">
        <f>+N269-N268</f>
        <v>0</v>
      </c>
      <c r="O270" s="4"/>
    </row>
    <row r="271" spans="1:16">
      <c r="C271" s="489"/>
      <c r="D271" s="1274"/>
      <c r="E271" s="1274"/>
      <c r="F271" s="1274"/>
      <c r="G271" s="1274"/>
      <c r="H271" s="1274"/>
      <c r="I271" s="1274"/>
      <c r="J271" s="936"/>
      <c r="K271" s="935"/>
      <c r="L271" s="935"/>
      <c r="M271" s="935"/>
      <c r="N271" s="935"/>
      <c r="O271" s="4"/>
    </row>
    <row r="272" spans="1:16" ht="13.5" thickBot="1">
      <c r="C272" s="489"/>
      <c r="D272" s="4"/>
      <c r="E272" s="490"/>
      <c r="F272" s="490"/>
      <c r="G272" s="490"/>
      <c r="H272" s="490"/>
      <c r="I272" s="490"/>
      <c r="J272" s="490"/>
      <c r="K272" s="490"/>
      <c r="L272" s="490"/>
      <c r="M272" s="490"/>
      <c r="N272" s="490"/>
      <c r="O272" s="4"/>
    </row>
    <row r="273" spans="1:15" ht="13.5" thickBot="1">
      <c r="C273" s="491" t="s">
        <v>295</v>
      </c>
      <c r="D273" s="492"/>
      <c r="E273" s="492"/>
      <c r="F273" s="492"/>
      <c r="G273" s="492"/>
      <c r="H273" s="492"/>
      <c r="I273" s="493"/>
      <c r="K273" s="4"/>
      <c r="L273" s="4"/>
      <c r="M273" s="4"/>
      <c r="N273" s="4"/>
      <c r="O273" s="4"/>
    </row>
    <row r="274" spans="1:15" ht="15">
      <c r="C274" s="494" t="s">
        <v>273</v>
      </c>
      <c r="D274" s="946">
        <v>21957101</v>
      </c>
      <c r="E274" s="4" t="s">
        <v>274</v>
      </c>
      <c r="G274" s="82"/>
      <c r="H274" s="82"/>
      <c r="I274" s="495">
        <v>2018</v>
      </c>
      <c r="J274" s="138"/>
      <c r="K274" s="1272" t="s">
        <v>460</v>
      </c>
      <c r="L274" s="1272"/>
      <c r="M274" s="1272"/>
      <c r="N274" s="1272"/>
      <c r="O274" s="1272"/>
    </row>
    <row r="275" spans="1:15">
      <c r="C275" s="494" t="s">
        <v>276</v>
      </c>
      <c r="D275" s="647">
        <v>2013</v>
      </c>
      <c r="E275" s="494" t="s">
        <v>277</v>
      </c>
      <c r="F275" s="82"/>
      <c r="H275"/>
      <c r="I275" s="650">
        <f>IF(G268="",0,$F$15)</f>
        <v>0</v>
      </c>
      <c r="J275" s="496"/>
      <c r="K275" s="936" t="s">
        <v>460</v>
      </c>
    </row>
    <row r="276" spans="1:15">
      <c r="C276" s="494" t="s">
        <v>278</v>
      </c>
      <c r="D276" s="946">
        <v>4</v>
      </c>
      <c r="E276" s="494" t="s">
        <v>279</v>
      </c>
      <c r="F276" s="82"/>
      <c r="H276"/>
      <c r="I276" s="497">
        <f>$G$70</f>
        <v>0.11108872081308177</v>
      </c>
      <c r="J276" s="84"/>
      <c r="K276" t="str">
        <f>"          INPUT PROJECTED ARR (WITH &amp; WITHOUT INCENTIVES) FROM EACH PRIOR YEAR"</f>
        <v xml:space="preserve">          INPUT PROJECTED ARR (WITH &amp; WITHOUT INCENTIVES) FROM EACH PRIOR YEAR</v>
      </c>
    </row>
    <row r="277" spans="1:15">
      <c r="C277" s="494" t="s">
        <v>280</v>
      </c>
      <c r="D277" s="498">
        <f>G$79</f>
        <v>38</v>
      </c>
      <c r="E277" s="494" t="s">
        <v>281</v>
      </c>
      <c r="F277" s="82"/>
      <c r="H277"/>
      <c r="I277" s="497">
        <f>IF(G268="",I276,$G$67)</f>
        <v>0.11108872081308177</v>
      </c>
      <c r="J277" s="84"/>
      <c r="K277" t="s">
        <v>358</v>
      </c>
    </row>
    <row r="278" spans="1:15" ht="13.5" thickBot="1">
      <c r="C278" s="494" t="s">
        <v>282</v>
      </c>
      <c r="D278" s="649" t="s">
        <v>930</v>
      </c>
      <c r="E278" s="499" t="s">
        <v>283</v>
      </c>
      <c r="F278" s="500"/>
      <c r="G278" s="501"/>
      <c r="H278" s="501"/>
      <c r="I278" s="945">
        <f>IF(D274=0,0,D274/D277)</f>
        <v>577818.44736842101</v>
      </c>
      <c r="J278" s="936"/>
      <c r="K278" s="936" t="s">
        <v>364</v>
      </c>
      <c r="L278" s="936"/>
      <c r="M278" s="936"/>
      <c r="N278" s="936"/>
      <c r="O278" s="4"/>
    </row>
    <row r="279" spans="1:15" ht="51">
      <c r="A279" s="12"/>
      <c r="B279" s="12"/>
      <c r="C279" s="502" t="s">
        <v>273</v>
      </c>
      <c r="D279" s="947" t="s">
        <v>284</v>
      </c>
      <c r="E279" s="948" t="s">
        <v>285</v>
      </c>
      <c r="F279" s="947" t="s">
        <v>286</v>
      </c>
      <c r="G279" s="948" t="s">
        <v>357</v>
      </c>
      <c r="H279" s="949" t="s">
        <v>357</v>
      </c>
      <c r="I279" s="502" t="s">
        <v>296</v>
      </c>
      <c r="J279" s="506"/>
      <c r="K279" s="948" t="s">
        <v>366</v>
      </c>
      <c r="L279" s="950"/>
      <c r="M279" s="948" t="s">
        <v>366</v>
      </c>
      <c r="N279" s="950"/>
      <c r="O279" s="950"/>
    </row>
    <row r="280" spans="1:15" ht="13.5" thickBot="1">
      <c r="C280" s="507" t="s">
        <v>178</v>
      </c>
      <c r="D280" s="508" t="s">
        <v>179</v>
      </c>
      <c r="E280" s="507" t="s">
        <v>38</v>
      </c>
      <c r="F280" s="508" t="s">
        <v>179</v>
      </c>
      <c r="G280" s="951" t="s">
        <v>299</v>
      </c>
      <c r="H280" s="952" t="s">
        <v>301</v>
      </c>
      <c r="I280" s="507" t="s">
        <v>390</v>
      </c>
      <c r="J280" s="511"/>
      <c r="K280" s="951" t="s">
        <v>288</v>
      </c>
      <c r="L280" s="953"/>
      <c r="M280" s="951" t="s">
        <v>301</v>
      </c>
      <c r="N280" s="953"/>
      <c r="O280" s="953"/>
    </row>
    <row r="281" spans="1:15">
      <c r="C281" s="512">
        <f>IF(D275= "","-",D275)</f>
        <v>2013</v>
      </c>
      <c r="D281" s="477">
        <f>+D274</f>
        <v>21957101</v>
      </c>
      <c r="E281" s="954">
        <f>+I278/12*(12-D276)</f>
        <v>385212.29824561399</v>
      </c>
      <c r="F281" s="477">
        <f t="shared" ref="F281:F340" si="12">+D281-E281</f>
        <v>21571888.701754387</v>
      </c>
      <c r="G281" s="955">
        <f>+$I$276*((D281+F281)/2)+E281</f>
        <v>2803002.1903724666</v>
      </c>
      <c r="H281" s="956">
        <f>+$I$277*((D281+F281)/2)+E281</f>
        <v>2803002.1903724666</v>
      </c>
      <c r="I281" s="516">
        <f>+H281-G281</f>
        <v>0</v>
      </c>
      <c r="J281" s="516"/>
      <c r="K281" s="652">
        <v>1301059</v>
      </c>
      <c r="L281" s="518"/>
      <c r="M281" s="652">
        <v>1301059</v>
      </c>
      <c r="N281" s="518"/>
      <c r="O281" s="518"/>
    </row>
    <row r="282" spans="1:15">
      <c r="C282" s="512">
        <f>IF(D275="","-",+C281+1)</f>
        <v>2014</v>
      </c>
      <c r="D282" s="477">
        <f t="shared" ref="D282:D340" si="13">F281</f>
        <v>21571888.701754387</v>
      </c>
      <c r="E282" s="519">
        <f>IF(D282&gt;$I$278,$I$278,D282)</f>
        <v>577818.44736842101</v>
      </c>
      <c r="F282" s="477">
        <f t="shared" si="12"/>
        <v>20994070.254385967</v>
      </c>
      <c r="G282" s="954">
        <f t="shared" ref="G282:G340" si="14">+$I$276*((D282+F282)/2)+E282</f>
        <v>2942117.4126783079</v>
      </c>
      <c r="H282" s="957">
        <f t="shared" ref="H282:H340" si="15">+$I$277*((D282+F282)/2)+E282</f>
        <v>2942117.4126783079</v>
      </c>
      <c r="I282" s="516">
        <f t="shared" ref="I282:I340" si="16">+H282-G282</f>
        <v>0</v>
      </c>
      <c r="J282" s="516"/>
      <c r="K282" s="652">
        <v>3243481</v>
      </c>
      <c r="L282" s="522"/>
      <c r="M282" s="652">
        <v>3243481</v>
      </c>
      <c r="N282" s="522"/>
      <c r="O282" s="522"/>
    </row>
    <row r="283" spans="1:15">
      <c r="C283" s="512">
        <f>IF(D275="","-",+C282+1)</f>
        <v>2015</v>
      </c>
      <c r="D283" s="477">
        <f t="shared" si="13"/>
        <v>20994070.254385967</v>
      </c>
      <c r="E283" s="519">
        <f t="shared" ref="E283:E340" si="17">IF(D283&gt;$I$278,$I$278,D283)</f>
        <v>577818.44736842101</v>
      </c>
      <c r="F283" s="477">
        <f t="shared" si="12"/>
        <v>20416251.807017546</v>
      </c>
      <c r="G283" s="954">
        <f t="shared" si="14"/>
        <v>2877928.3004979491</v>
      </c>
      <c r="H283" s="957">
        <f t="shared" si="15"/>
        <v>2877928.3004979491</v>
      </c>
      <c r="I283" s="516">
        <f t="shared" si="16"/>
        <v>0</v>
      </c>
      <c r="J283" s="516"/>
      <c r="K283" s="652">
        <v>3604460</v>
      </c>
      <c r="L283" s="522"/>
      <c r="M283" s="652">
        <v>3604460</v>
      </c>
      <c r="N283" s="522"/>
      <c r="O283" s="522"/>
    </row>
    <row r="284" spans="1:15">
      <c r="C284" s="512">
        <f>IF(D275="","-",+C283+1)</f>
        <v>2016</v>
      </c>
      <c r="D284" s="477">
        <f t="shared" si="13"/>
        <v>20416251.807017546</v>
      </c>
      <c r="E284" s="519">
        <f t="shared" si="17"/>
        <v>577818.44736842101</v>
      </c>
      <c r="F284" s="477">
        <f t="shared" si="12"/>
        <v>19838433.359649125</v>
      </c>
      <c r="G284" s="954">
        <f t="shared" si="14"/>
        <v>2813739.1883175899</v>
      </c>
      <c r="H284" s="957">
        <f t="shared" si="15"/>
        <v>2813739.1883175899</v>
      </c>
      <c r="I284" s="516">
        <f t="shared" si="16"/>
        <v>0</v>
      </c>
      <c r="J284" s="516"/>
      <c r="K284" s="652">
        <v>3506792</v>
      </c>
      <c r="L284" s="522"/>
      <c r="M284" s="652">
        <v>3506792</v>
      </c>
      <c r="N284" s="522"/>
      <c r="O284" s="522"/>
    </row>
    <row r="285" spans="1:15">
      <c r="C285" s="512">
        <f>IF(D275="","-",+C284+1)</f>
        <v>2017</v>
      </c>
      <c r="D285" s="477">
        <f t="shared" si="13"/>
        <v>19838433.359649125</v>
      </c>
      <c r="E285" s="519">
        <f t="shared" si="17"/>
        <v>577818.44736842101</v>
      </c>
      <c r="F285" s="477">
        <f t="shared" si="12"/>
        <v>19260614.912280705</v>
      </c>
      <c r="G285" s="954">
        <f t="shared" si="14"/>
        <v>2749550.0761372312</v>
      </c>
      <c r="H285" s="957">
        <f t="shared" si="15"/>
        <v>2749550.0761372312</v>
      </c>
      <c r="I285" s="516">
        <f t="shared" si="16"/>
        <v>0</v>
      </c>
      <c r="J285" s="516"/>
      <c r="K285" s="652">
        <v>3162406</v>
      </c>
      <c r="L285" s="522"/>
      <c r="M285" s="652">
        <v>3162406</v>
      </c>
      <c r="N285" s="522"/>
      <c r="O285" s="522"/>
    </row>
    <row r="286" spans="1:15">
      <c r="C286" s="959">
        <f>IF(D275="","-",+C285+1)</f>
        <v>2018</v>
      </c>
      <c r="D286" s="967">
        <f t="shared" si="13"/>
        <v>19260614.912280705</v>
      </c>
      <c r="E286" s="961">
        <f t="shared" si="17"/>
        <v>577818.44736842101</v>
      </c>
      <c r="F286" s="960">
        <f t="shared" si="12"/>
        <v>18682796.464912284</v>
      </c>
      <c r="G286" s="962">
        <f t="shared" si="14"/>
        <v>2685360.9639568725</v>
      </c>
      <c r="H286" s="963">
        <f t="shared" si="15"/>
        <v>2685360.9639568725</v>
      </c>
      <c r="I286" s="964">
        <f t="shared" si="16"/>
        <v>0</v>
      </c>
      <c r="J286" s="516"/>
      <c r="K286" s="652"/>
      <c r="L286" s="522"/>
      <c r="M286" s="652"/>
      <c r="N286" s="522"/>
      <c r="O286" s="522"/>
    </row>
    <row r="287" spans="1:15">
      <c r="C287" s="512">
        <f>IF(D275="","-",+C286+1)</f>
        <v>2019</v>
      </c>
      <c r="D287" s="477">
        <f t="shared" si="13"/>
        <v>18682796.464912284</v>
      </c>
      <c r="E287" s="519">
        <f t="shared" si="17"/>
        <v>577818.44736842101</v>
      </c>
      <c r="F287" s="477">
        <f t="shared" si="12"/>
        <v>18104978.017543864</v>
      </c>
      <c r="G287" s="954">
        <f t="shared" si="14"/>
        <v>2621171.8517765133</v>
      </c>
      <c r="H287" s="957">
        <f t="shared" si="15"/>
        <v>2621171.8517765133</v>
      </c>
      <c r="I287" s="516">
        <f t="shared" si="16"/>
        <v>0</v>
      </c>
      <c r="J287" s="516"/>
      <c r="K287" s="652"/>
      <c r="L287" s="522"/>
      <c r="M287" s="652"/>
      <c r="N287" s="522"/>
      <c r="O287" s="522"/>
    </row>
    <row r="288" spans="1:15">
      <c r="C288" s="512">
        <f>IF(D275="","-",+C287+1)</f>
        <v>2020</v>
      </c>
      <c r="D288" s="477">
        <f t="shared" si="13"/>
        <v>18104978.017543864</v>
      </c>
      <c r="E288" s="519">
        <f t="shared" si="17"/>
        <v>577818.44736842101</v>
      </c>
      <c r="F288" s="477">
        <f t="shared" si="12"/>
        <v>17527159.570175443</v>
      </c>
      <c r="G288" s="954">
        <f t="shared" si="14"/>
        <v>2556982.7395961545</v>
      </c>
      <c r="H288" s="957">
        <f t="shared" si="15"/>
        <v>2556982.7395961545</v>
      </c>
      <c r="I288" s="516">
        <f t="shared" si="16"/>
        <v>0</v>
      </c>
      <c r="J288" s="516"/>
      <c r="K288" s="652"/>
      <c r="L288" s="522"/>
      <c r="M288" s="652"/>
      <c r="N288" s="522"/>
      <c r="O288" s="522"/>
    </row>
    <row r="289" spans="3:15">
      <c r="C289" s="512">
        <f>IF(D275="","-",+C288+1)</f>
        <v>2021</v>
      </c>
      <c r="D289" s="477">
        <f t="shared" si="13"/>
        <v>17527159.570175443</v>
      </c>
      <c r="E289" s="519">
        <f t="shared" si="17"/>
        <v>577818.44736842101</v>
      </c>
      <c r="F289" s="477">
        <f t="shared" si="12"/>
        <v>16949341.122807022</v>
      </c>
      <c r="G289" s="954">
        <f t="shared" si="14"/>
        <v>2492793.6274157958</v>
      </c>
      <c r="H289" s="957">
        <f t="shared" si="15"/>
        <v>2492793.6274157958</v>
      </c>
      <c r="I289" s="516">
        <f t="shared" si="16"/>
        <v>0</v>
      </c>
      <c r="J289" s="516"/>
      <c r="K289" s="652"/>
      <c r="L289" s="522"/>
      <c r="M289" s="652"/>
      <c r="N289" s="522"/>
      <c r="O289" s="522"/>
    </row>
    <row r="290" spans="3:15">
      <c r="C290" s="512">
        <f>IF(D275="","-",+C289+1)</f>
        <v>2022</v>
      </c>
      <c r="D290" s="477">
        <f t="shared" si="13"/>
        <v>16949341.122807022</v>
      </c>
      <c r="E290" s="519">
        <f t="shared" si="17"/>
        <v>577818.44736842101</v>
      </c>
      <c r="F290" s="477">
        <f t="shared" si="12"/>
        <v>16371522.675438602</v>
      </c>
      <c r="G290" s="954">
        <f t="shared" si="14"/>
        <v>2428604.5152354366</v>
      </c>
      <c r="H290" s="957">
        <f t="shared" si="15"/>
        <v>2428604.5152354366</v>
      </c>
      <c r="I290" s="516">
        <f t="shared" si="16"/>
        <v>0</v>
      </c>
      <c r="J290" s="516"/>
      <c r="K290" s="652"/>
      <c r="L290" s="522"/>
      <c r="M290" s="652"/>
      <c r="N290" s="522"/>
      <c r="O290" s="522"/>
    </row>
    <row r="291" spans="3:15">
      <c r="C291" s="512">
        <f>IF(D275="","-",+C290+1)</f>
        <v>2023</v>
      </c>
      <c r="D291" s="477">
        <f t="shared" si="13"/>
        <v>16371522.675438602</v>
      </c>
      <c r="E291" s="519">
        <f t="shared" si="17"/>
        <v>577818.44736842101</v>
      </c>
      <c r="F291" s="477">
        <f t="shared" si="12"/>
        <v>15793704.228070181</v>
      </c>
      <c r="G291" s="954">
        <f t="shared" si="14"/>
        <v>2364415.4030550779</v>
      </c>
      <c r="H291" s="957">
        <f t="shared" si="15"/>
        <v>2364415.4030550779</v>
      </c>
      <c r="I291" s="516">
        <f t="shared" si="16"/>
        <v>0</v>
      </c>
      <c r="J291" s="516"/>
      <c r="K291" s="652"/>
      <c r="L291" s="522"/>
      <c r="M291" s="652"/>
      <c r="N291" s="522"/>
      <c r="O291" s="522"/>
    </row>
    <row r="292" spans="3:15">
      <c r="C292" s="512">
        <f>IF(D275="","-",+C291+1)</f>
        <v>2024</v>
      </c>
      <c r="D292" s="477">
        <f t="shared" si="13"/>
        <v>15793704.228070181</v>
      </c>
      <c r="E292" s="519">
        <f t="shared" si="17"/>
        <v>577818.44736842101</v>
      </c>
      <c r="F292" s="477">
        <f t="shared" si="12"/>
        <v>15215885.78070176</v>
      </c>
      <c r="G292" s="954">
        <f t="shared" si="14"/>
        <v>2300226.2908747192</v>
      </c>
      <c r="H292" s="957">
        <f t="shared" si="15"/>
        <v>2300226.2908747192</v>
      </c>
      <c r="I292" s="516">
        <f t="shared" si="16"/>
        <v>0</v>
      </c>
      <c r="J292" s="516"/>
      <c r="K292" s="652"/>
      <c r="L292" s="522"/>
      <c r="M292" s="652"/>
      <c r="N292" s="522"/>
      <c r="O292" s="522"/>
    </row>
    <row r="293" spans="3:15">
      <c r="C293" s="512">
        <f>IF(D275="","-",+C292+1)</f>
        <v>2025</v>
      </c>
      <c r="D293" s="477">
        <f t="shared" si="13"/>
        <v>15215885.78070176</v>
      </c>
      <c r="E293" s="519">
        <f t="shared" si="17"/>
        <v>577818.44736842101</v>
      </c>
      <c r="F293" s="477">
        <f t="shared" si="12"/>
        <v>14638067.33333334</v>
      </c>
      <c r="G293" s="954">
        <f t="shared" si="14"/>
        <v>2236037.17869436</v>
      </c>
      <c r="H293" s="957">
        <f t="shared" si="15"/>
        <v>2236037.17869436</v>
      </c>
      <c r="I293" s="516">
        <f t="shared" si="16"/>
        <v>0</v>
      </c>
      <c r="J293" s="516"/>
      <c r="K293" s="652"/>
      <c r="L293" s="522"/>
      <c r="M293" s="652"/>
      <c r="N293" s="522"/>
      <c r="O293" s="522"/>
    </row>
    <row r="294" spans="3:15">
      <c r="C294" s="512">
        <f>IF(D275="","-",+C293+1)</f>
        <v>2026</v>
      </c>
      <c r="D294" s="477">
        <f t="shared" si="13"/>
        <v>14638067.33333334</v>
      </c>
      <c r="E294" s="519">
        <f t="shared" si="17"/>
        <v>577818.44736842101</v>
      </c>
      <c r="F294" s="477">
        <f t="shared" si="12"/>
        <v>14060248.885964919</v>
      </c>
      <c r="G294" s="954">
        <f t="shared" si="14"/>
        <v>2171848.0665140012</v>
      </c>
      <c r="H294" s="957">
        <f t="shared" si="15"/>
        <v>2171848.0665140012</v>
      </c>
      <c r="I294" s="516">
        <f t="shared" si="16"/>
        <v>0</v>
      </c>
      <c r="J294" s="516"/>
      <c r="K294" s="652"/>
      <c r="L294" s="522"/>
      <c r="M294" s="652"/>
      <c r="N294" s="522"/>
      <c r="O294" s="522"/>
    </row>
    <row r="295" spans="3:15">
      <c r="C295" s="512">
        <f>IF(D275="","-",+C294+1)</f>
        <v>2027</v>
      </c>
      <c r="D295" s="477">
        <f t="shared" si="13"/>
        <v>14060248.885964919</v>
      </c>
      <c r="E295" s="519">
        <f t="shared" si="17"/>
        <v>577818.44736842101</v>
      </c>
      <c r="F295" s="477">
        <f t="shared" si="12"/>
        <v>13482430.438596498</v>
      </c>
      <c r="G295" s="954">
        <f t="shared" si="14"/>
        <v>2107658.9543336425</v>
      </c>
      <c r="H295" s="957">
        <f t="shared" si="15"/>
        <v>2107658.9543336425</v>
      </c>
      <c r="I295" s="516">
        <f t="shared" si="16"/>
        <v>0</v>
      </c>
      <c r="J295" s="516"/>
      <c r="K295" s="652"/>
      <c r="L295" s="522"/>
      <c r="M295" s="652"/>
      <c r="N295" s="522"/>
      <c r="O295" s="522"/>
    </row>
    <row r="296" spans="3:15">
      <c r="C296" s="512">
        <f>IF(D275="","-",+C295+1)</f>
        <v>2028</v>
      </c>
      <c r="D296" s="477">
        <f t="shared" si="13"/>
        <v>13482430.438596498</v>
      </c>
      <c r="E296" s="519">
        <f t="shared" si="17"/>
        <v>577818.44736842101</v>
      </c>
      <c r="F296" s="477">
        <f t="shared" si="12"/>
        <v>12904611.991228078</v>
      </c>
      <c r="G296" s="954">
        <f t="shared" si="14"/>
        <v>2043469.8421532838</v>
      </c>
      <c r="H296" s="957">
        <f t="shared" si="15"/>
        <v>2043469.8421532838</v>
      </c>
      <c r="I296" s="516">
        <f t="shared" si="16"/>
        <v>0</v>
      </c>
      <c r="J296" s="516"/>
      <c r="K296" s="652"/>
      <c r="L296" s="522"/>
      <c r="M296" s="652"/>
      <c r="N296" s="522"/>
      <c r="O296" s="522"/>
    </row>
    <row r="297" spans="3:15">
      <c r="C297" s="512">
        <f>IF(D275="","-",+C296+1)</f>
        <v>2029</v>
      </c>
      <c r="D297" s="477">
        <f t="shared" si="13"/>
        <v>12904611.991228078</v>
      </c>
      <c r="E297" s="519">
        <f t="shared" si="17"/>
        <v>577818.44736842101</v>
      </c>
      <c r="F297" s="477">
        <f t="shared" si="12"/>
        <v>12326793.543859657</v>
      </c>
      <c r="G297" s="954">
        <f t="shared" si="14"/>
        <v>1979280.7299729246</v>
      </c>
      <c r="H297" s="957">
        <f t="shared" si="15"/>
        <v>1979280.7299729246</v>
      </c>
      <c r="I297" s="516">
        <f t="shared" si="16"/>
        <v>0</v>
      </c>
      <c r="J297" s="516"/>
      <c r="K297" s="652"/>
      <c r="L297" s="522"/>
      <c r="M297" s="652"/>
      <c r="N297" s="522"/>
      <c r="O297" s="522"/>
    </row>
    <row r="298" spans="3:15">
      <c r="C298" s="512">
        <f>IF(D275="","-",+C297+1)</f>
        <v>2030</v>
      </c>
      <c r="D298" s="477">
        <f t="shared" si="13"/>
        <v>12326793.543859657</v>
      </c>
      <c r="E298" s="519">
        <f t="shared" si="17"/>
        <v>577818.44736842101</v>
      </c>
      <c r="F298" s="477">
        <f t="shared" si="12"/>
        <v>11748975.096491236</v>
      </c>
      <c r="G298" s="954">
        <f t="shared" si="14"/>
        <v>1915091.6177925658</v>
      </c>
      <c r="H298" s="957">
        <f t="shared" si="15"/>
        <v>1915091.6177925658</v>
      </c>
      <c r="I298" s="516">
        <f t="shared" si="16"/>
        <v>0</v>
      </c>
      <c r="J298" s="516"/>
      <c r="K298" s="652"/>
      <c r="L298" s="522"/>
      <c r="M298" s="652"/>
      <c r="N298" s="522"/>
      <c r="O298" s="522"/>
    </row>
    <row r="299" spans="3:15">
      <c r="C299" s="512">
        <f>IF(D275="","-",+C298+1)</f>
        <v>2031</v>
      </c>
      <c r="D299" s="477">
        <f t="shared" si="13"/>
        <v>11748975.096491236</v>
      </c>
      <c r="E299" s="519">
        <f t="shared" si="17"/>
        <v>577818.44736842101</v>
      </c>
      <c r="F299" s="477">
        <f t="shared" si="12"/>
        <v>11171156.649122816</v>
      </c>
      <c r="G299" s="954">
        <f t="shared" si="14"/>
        <v>1850902.5056122071</v>
      </c>
      <c r="H299" s="957">
        <f t="shared" si="15"/>
        <v>1850902.5056122071</v>
      </c>
      <c r="I299" s="516">
        <f t="shared" si="16"/>
        <v>0</v>
      </c>
      <c r="J299" s="516"/>
      <c r="K299" s="652"/>
      <c r="L299" s="522"/>
      <c r="M299" s="652"/>
      <c r="N299" s="522"/>
      <c r="O299" s="522"/>
    </row>
    <row r="300" spans="3:15">
      <c r="C300" s="512">
        <f>IF(D275="","-",+C299+1)</f>
        <v>2032</v>
      </c>
      <c r="D300" s="477">
        <f t="shared" si="13"/>
        <v>11171156.649122816</v>
      </c>
      <c r="E300" s="519">
        <f t="shared" si="17"/>
        <v>577818.44736842101</v>
      </c>
      <c r="F300" s="477">
        <f t="shared" si="12"/>
        <v>10593338.201754395</v>
      </c>
      <c r="G300" s="954">
        <f t="shared" si="14"/>
        <v>1786713.3934318479</v>
      </c>
      <c r="H300" s="957">
        <f t="shared" si="15"/>
        <v>1786713.3934318479</v>
      </c>
      <c r="I300" s="516">
        <f t="shared" si="16"/>
        <v>0</v>
      </c>
      <c r="J300" s="516"/>
      <c r="K300" s="652"/>
      <c r="L300" s="522"/>
      <c r="M300" s="652"/>
      <c r="N300" s="522"/>
      <c r="O300" s="522"/>
    </row>
    <row r="301" spans="3:15">
      <c r="C301" s="512">
        <f>IF(D275="","-",+C300+1)</f>
        <v>2033</v>
      </c>
      <c r="D301" s="477">
        <f t="shared" si="13"/>
        <v>10593338.201754395</v>
      </c>
      <c r="E301" s="519">
        <f t="shared" si="17"/>
        <v>577818.44736842101</v>
      </c>
      <c r="F301" s="477">
        <f t="shared" si="12"/>
        <v>10015519.754385974</v>
      </c>
      <c r="G301" s="954">
        <f t="shared" si="14"/>
        <v>1722524.2812514892</v>
      </c>
      <c r="H301" s="957">
        <f t="shared" si="15"/>
        <v>1722524.2812514892</v>
      </c>
      <c r="I301" s="516">
        <f t="shared" si="16"/>
        <v>0</v>
      </c>
      <c r="J301" s="516"/>
      <c r="K301" s="652"/>
      <c r="L301" s="522"/>
      <c r="M301" s="652"/>
      <c r="N301" s="522"/>
      <c r="O301" s="522"/>
    </row>
    <row r="302" spans="3:15">
      <c r="C302" s="512">
        <f>IF(D275="","-",+C301+1)</f>
        <v>2034</v>
      </c>
      <c r="D302" s="477">
        <f t="shared" si="13"/>
        <v>10015519.754385974</v>
      </c>
      <c r="E302" s="519">
        <f t="shared" si="17"/>
        <v>577818.44736842101</v>
      </c>
      <c r="F302" s="477">
        <f t="shared" si="12"/>
        <v>9437701.3070175536</v>
      </c>
      <c r="G302" s="954">
        <f t="shared" si="14"/>
        <v>1658335.1690711305</v>
      </c>
      <c r="H302" s="957">
        <f t="shared" si="15"/>
        <v>1658335.1690711305</v>
      </c>
      <c r="I302" s="516">
        <f t="shared" si="16"/>
        <v>0</v>
      </c>
      <c r="J302" s="516"/>
      <c r="K302" s="652"/>
      <c r="L302" s="522"/>
      <c r="M302" s="652"/>
      <c r="N302" s="522"/>
      <c r="O302" s="522"/>
    </row>
    <row r="303" spans="3:15">
      <c r="C303" s="512">
        <f>IF(D275="","-",+C302+1)</f>
        <v>2035</v>
      </c>
      <c r="D303" s="477">
        <f t="shared" si="13"/>
        <v>9437701.3070175536</v>
      </c>
      <c r="E303" s="519">
        <f t="shared" si="17"/>
        <v>577818.44736842101</v>
      </c>
      <c r="F303" s="477">
        <f t="shared" si="12"/>
        <v>8859882.8596491329</v>
      </c>
      <c r="G303" s="954">
        <f t="shared" si="14"/>
        <v>1594146.0568907715</v>
      </c>
      <c r="H303" s="957">
        <f t="shared" si="15"/>
        <v>1594146.0568907715</v>
      </c>
      <c r="I303" s="516">
        <f t="shared" si="16"/>
        <v>0</v>
      </c>
      <c r="J303" s="516"/>
      <c r="K303" s="652"/>
      <c r="L303" s="522"/>
      <c r="M303" s="652"/>
      <c r="N303" s="522"/>
      <c r="O303" s="522"/>
    </row>
    <row r="304" spans="3:15">
      <c r="C304" s="512">
        <f>IF(D275="","-",+C303+1)</f>
        <v>2036</v>
      </c>
      <c r="D304" s="477">
        <f t="shared" si="13"/>
        <v>8859882.8596491329</v>
      </c>
      <c r="E304" s="519">
        <f t="shared" si="17"/>
        <v>577818.44736842101</v>
      </c>
      <c r="F304" s="477">
        <f t="shared" si="12"/>
        <v>8282064.4122807123</v>
      </c>
      <c r="G304" s="954">
        <f t="shared" si="14"/>
        <v>1529956.9447104125</v>
      </c>
      <c r="H304" s="957">
        <f t="shared" si="15"/>
        <v>1529956.9447104125</v>
      </c>
      <c r="I304" s="516">
        <f t="shared" si="16"/>
        <v>0</v>
      </c>
      <c r="J304" s="516"/>
      <c r="K304" s="652"/>
      <c r="L304" s="522"/>
      <c r="M304" s="652"/>
      <c r="N304" s="522"/>
      <c r="O304" s="522"/>
    </row>
    <row r="305" spans="3:15">
      <c r="C305" s="512">
        <f>IF(D275="","-",+C304+1)</f>
        <v>2037</v>
      </c>
      <c r="D305" s="477">
        <f t="shared" si="13"/>
        <v>8282064.4122807123</v>
      </c>
      <c r="E305" s="519">
        <f t="shared" si="17"/>
        <v>577818.44736842101</v>
      </c>
      <c r="F305" s="477">
        <f t="shared" si="12"/>
        <v>7704245.9649122916</v>
      </c>
      <c r="G305" s="954">
        <f t="shared" si="14"/>
        <v>1465767.8325300538</v>
      </c>
      <c r="H305" s="957">
        <f t="shared" si="15"/>
        <v>1465767.8325300538</v>
      </c>
      <c r="I305" s="516">
        <f t="shared" si="16"/>
        <v>0</v>
      </c>
      <c r="J305" s="516"/>
      <c r="K305" s="652"/>
      <c r="L305" s="522"/>
      <c r="M305" s="652"/>
      <c r="N305" s="522"/>
      <c r="O305" s="522"/>
    </row>
    <row r="306" spans="3:15">
      <c r="C306" s="512">
        <f>IF(D275="","-",+C305+1)</f>
        <v>2038</v>
      </c>
      <c r="D306" s="477">
        <f t="shared" si="13"/>
        <v>7704245.9649122916</v>
      </c>
      <c r="E306" s="519">
        <f t="shared" si="17"/>
        <v>577818.44736842101</v>
      </c>
      <c r="F306" s="477">
        <f t="shared" si="12"/>
        <v>7126427.517543871</v>
      </c>
      <c r="G306" s="954">
        <f t="shared" si="14"/>
        <v>1401578.7203496951</v>
      </c>
      <c r="H306" s="957">
        <f t="shared" si="15"/>
        <v>1401578.7203496951</v>
      </c>
      <c r="I306" s="516">
        <f t="shared" si="16"/>
        <v>0</v>
      </c>
      <c r="J306" s="516"/>
      <c r="K306" s="652"/>
      <c r="L306" s="522"/>
      <c r="M306" s="652"/>
      <c r="N306" s="522"/>
      <c r="O306" s="522"/>
    </row>
    <row r="307" spans="3:15">
      <c r="C307" s="512">
        <f>IF(D275="","-",+C306+1)</f>
        <v>2039</v>
      </c>
      <c r="D307" s="477">
        <f t="shared" si="13"/>
        <v>7126427.517543871</v>
      </c>
      <c r="E307" s="519">
        <f t="shared" si="17"/>
        <v>577818.44736842101</v>
      </c>
      <c r="F307" s="477">
        <f t="shared" si="12"/>
        <v>6548609.0701754503</v>
      </c>
      <c r="G307" s="954">
        <f t="shared" si="14"/>
        <v>1337389.6081693361</v>
      </c>
      <c r="H307" s="957">
        <f t="shared" si="15"/>
        <v>1337389.6081693361</v>
      </c>
      <c r="I307" s="516">
        <f t="shared" si="16"/>
        <v>0</v>
      </c>
      <c r="J307" s="516"/>
      <c r="K307" s="652"/>
      <c r="L307" s="522"/>
      <c r="M307" s="652"/>
      <c r="N307" s="522"/>
      <c r="O307" s="522"/>
    </row>
    <row r="308" spans="3:15">
      <c r="C308" s="512">
        <f>IF(D275="","-",+C307+1)</f>
        <v>2040</v>
      </c>
      <c r="D308" s="477">
        <f t="shared" si="13"/>
        <v>6548609.0701754503</v>
      </c>
      <c r="E308" s="519">
        <f t="shared" si="17"/>
        <v>577818.44736842101</v>
      </c>
      <c r="F308" s="477">
        <f t="shared" si="12"/>
        <v>5970790.6228070296</v>
      </c>
      <c r="G308" s="954">
        <f t="shared" si="14"/>
        <v>1273200.4959889771</v>
      </c>
      <c r="H308" s="957">
        <f t="shared" si="15"/>
        <v>1273200.4959889771</v>
      </c>
      <c r="I308" s="516">
        <f t="shared" si="16"/>
        <v>0</v>
      </c>
      <c r="J308" s="516"/>
      <c r="K308" s="652"/>
      <c r="L308" s="522"/>
      <c r="M308" s="652"/>
      <c r="N308" s="522"/>
      <c r="O308" s="522"/>
    </row>
    <row r="309" spans="3:15">
      <c r="C309" s="512">
        <f>IF(D275="","-",+C308+1)</f>
        <v>2041</v>
      </c>
      <c r="D309" s="477">
        <f t="shared" si="13"/>
        <v>5970790.6228070296</v>
      </c>
      <c r="E309" s="519">
        <f t="shared" si="17"/>
        <v>577818.44736842101</v>
      </c>
      <c r="F309" s="477">
        <f t="shared" si="12"/>
        <v>5392972.175438609</v>
      </c>
      <c r="G309" s="965">
        <f t="shared" si="14"/>
        <v>1209011.3838086184</v>
      </c>
      <c r="H309" s="957">
        <f t="shared" si="15"/>
        <v>1209011.3838086184</v>
      </c>
      <c r="I309" s="516">
        <f t="shared" si="16"/>
        <v>0</v>
      </c>
      <c r="J309" s="516"/>
      <c r="K309" s="652"/>
      <c r="L309" s="522"/>
      <c r="M309" s="652"/>
      <c r="N309" s="522"/>
      <c r="O309" s="522"/>
    </row>
    <row r="310" spans="3:15">
      <c r="C310" s="512">
        <f>IF(D275="","-",+C309+1)</f>
        <v>2042</v>
      </c>
      <c r="D310" s="477">
        <f t="shared" si="13"/>
        <v>5392972.175438609</v>
      </c>
      <c r="E310" s="519">
        <f t="shared" si="17"/>
        <v>577818.44736842101</v>
      </c>
      <c r="F310" s="477">
        <f t="shared" si="12"/>
        <v>4815153.7280701883</v>
      </c>
      <c r="G310" s="954">
        <f t="shared" si="14"/>
        <v>1144822.2716282594</v>
      </c>
      <c r="H310" s="957">
        <f t="shared" si="15"/>
        <v>1144822.2716282594</v>
      </c>
      <c r="I310" s="516">
        <f t="shared" si="16"/>
        <v>0</v>
      </c>
      <c r="J310" s="516"/>
      <c r="K310" s="652"/>
      <c r="L310" s="522"/>
      <c r="M310" s="652"/>
      <c r="N310" s="522"/>
      <c r="O310" s="522"/>
    </row>
    <row r="311" spans="3:15">
      <c r="C311" s="512">
        <f>IF(D275="","-",+C310+1)</f>
        <v>2043</v>
      </c>
      <c r="D311" s="477">
        <f t="shared" si="13"/>
        <v>4815153.7280701883</v>
      </c>
      <c r="E311" s="519">
        <f t="shared" si="17"/>
        <v>577818.44736842101</v>
      </c>
      <c r="F311" s="477">
        <f t="shared" si="12"/>
        <v>4237335.2807017677</v>
      </c>
      <c r="G311" s="954">
        <f t="shared" si="14"/>
        <v>1080633.1594479005</v>
      </c>
      <c r="H311" s="957">
        <f t="shared" si="15"/>
        <v>1080633.1594479005</v>
      </c>
      <c r="I311" s="516">
        <f t="shared" si="16"/>
        <v>0</v>
      </c>
      <c r="J311" s="516"/>
      <c r="K311" s="652"/>
      <c r="L311" s="522"/>
      <c r="M311" s="652"/>
      <c r="N311" s="522"/>
      <c r="O311" s="522"/>
    </row>
    <row r="312" spans="3:15">
      <c r="C312" s="512">
        <f>IF(D275="","-",+C311+1)</f>
        <v>2044</v>
      </c>
      <c r="D312" s="477">
        <f t="shared" si="13"/>
        <v>4237335.2807017677</v>
      </c>
      <c r="E312" s="519">
        <f t="shared" si="17"/>
        <v>577818.44736842101</v>
      </c>
      <c r="F312" s="477">
        <f t="shared" si="12"/>
        <v>3659516.8333333465</v>
      </c>
      <c r="G312" s="954">
        <f t="shared" si="14"/>
        <v>1016444.0472675418</v>
      </c>
      <c r="H312" s="957">
        <f t="shared" si="15"/>
        <v>1016444.0472675418</v>
      </c>
      <c r="I312" s="516">
        <f t="shared" si="16"/>
        <v>0</v>
      </c>
      <c r="J312" s="516"/>
      <c r="K312" s="652"/>
      <c r="L312" s="522"/>
      <c r="M312" s="652"/>
      <c r="N312" s="522"/>
      <c r="O312" s="522"/>
    </row>
    <row r="313" spans="3:15">
      <c r="C313" s="512">
        <f>IF(D275="","-",+C312+1)</f>
        <v>2045</v>
      </c>
      <c r="D313" s="477">
        <f t="shared" si="13"/>
        <v>3659516.8333333465</v>
      </c>
      <c r="E313" s="519">
        <f t="shared" si="17"/>
        <v>577818.44736842101</v>
      </c>
      <c r="F313" s="477">
        <f t="shared" si="12"/>
        <v>3081698.3859649254</v>
      </c>
      <c r="G313" s="954">
        <f t="shared" si="14"/>
        <v>952254.93508718279</v>
      </c>
      <c r="H313" s="957">
        <f t="shared" si="15"/>
        <v>952254.93508718279</v>
      </c>
      <c r="I313" s="516">
        <f t="shared" si="16"/>
        <v>0</v>
      </c>
      <c r="J313" s="516"/>
      <c r="K313" s="652"/>
      <c r="L313" s="522"/>
      <c r="M313" s="652"/>
      <c r="N313" s="522"/>
      <c r="O313" s="522"/>
    </row>
    <row r="314" spans="3:15">
      <c r="C314" s="512">
        <f>IF(D275="","-",+C313+1)</f>
        <v>2046</v>
      </c>
      <c r="D314" s="477">
        <f t="shared" si="13"/>
        <v>3081698.3859649254</v>
      </c>
      <c r="E314" s="519">
        <f t="shared" si="17"/>
        <v>577818.44736842101</v>
      </c>
      <c r="F314" s="477">
        <f t="shared" si="12"/>
        <v>2503879.9385965043</v>
      </c>
      <c r="G314" s="954">
        <f t="shared" si="14"/>
        <v>888065.82290682383</v>
      </c>
      <c r="H314" s="957">
        <f t="shared" si="15"/>
        <v>888065.82290682383</v>
      </c>
      <c r="I314" s="516">
        <f t="shared" si="16"/>
        <v>0</v>
      </c>
      <c r="J314" s="516"/>
      <c r="K314" s="652"/>
      <c r="L314" s="522"/>
      <c r="M314" s="652"/>
      <c r="N314" s="522"/>
      <c r="O314" s="522"/>
    </row>
    <row r="315" spans="3:15">
      <c r="C315" s="512">
        <f>IF(D275="","-",+C314+1)</f>
        <v>2047</v>
      </c>
      <c r="D315" s="477">
        <f t="shared" si="13"/>
        <v>2503879.9385965043</v>
      </c>
      <c r="E315" s="519">
        <f t="shared" si="17"/>
        <v>577818.44736842101</v>
      </c>
      <c r="F315" s="477">
        <f t="shared" si="12"/>
        <v>1926061.4912280831</v>
      </c>
      <c r="G315" s="954">
        <f t="shared" si="14"/>
        <v>823876.71072646487</v>
      </c>
      <c r="H315" s="957">
        <f t="shared" si="15"/>
        <v>823876.71072646487</v>
      </c>
      <c r="I315" s="516">
        <f t="shared" si="16"/>
        <v>0</v>
      </c>
      <c r="J315" s="516"/>
      <c r="K315" s="652"/>
      <c r="L315" s="522"/>
      <c r="M315" s="652"/>
      <c r="N315" s="522"/>
      <c r="O315" s="522"/>
    </row>
    <row r="316" spans="3:15">
      <c r="C316" s="512">
        <f>IF(D275="","-",+C315+1)</f>
        <v>2048</v>
      </c>
      <c r="D316" s="477">
        <f t="shared" si="13"/>
        <v>1926061.4912280831</v>
      </c>
      <c r="E316" s="519">
        <f t="shared" si="17"/>
        <v>577818.44736842101</v>
      </c>
      <c r="F316" s="477">
        <f t="shared" si="12"/>
        <v>1348243.043859662</v>
      </c>
      <c r="G316" s="954">
        <f t="shared" si="14"/>
        <v>759687.59854610602</v>
      </c>
      <c r="H316" s="957">
        <f t="shared" si="15"/>
        <v>759687.59854610602</v>
      </c>
      <c r="I316" s="516">
        <f t="shared" si="16"/>
        <v>0</v>
      </c>
      <c r="J316" s="516"/>
      <c r="K316" s="652"/>
      <c r="L316" s="522"/>
      <c r="M316" s="652"/>
      <c r="N316" s="522"/>
      <c r="O316" s="522"/>
    </row>
    <row r="317" spans="3:15">
      <c r="C317" s="512">
        <f>IF(D275="","-",+C316+1)</f>
        <v>2049</v>
      </c>
      <c r="D317" s="477">
        <f t="shared" si="13"/>
        <v>1348243.043859662</v>
      </c>
      <c r="E317" s="519">
        <f t="shared" si="17"/>
        <v>577818.44736842101</v>
      </c>
      <c r="F317" s="477">
        <f t="shared" si="12"/>
        <v>770424.59649124101</v>
      </c>
      <c r="G317" s="954">
        <f t="shared" si="14"/>
        <v>695498.48636574706</v>
      </c>
      <c r="H317" s="957">
        <f t="shared" si="15"/>
        <v>695498.48636574706</v>
      </c>
      <c r="I317" s="516">
        <f t="shared" si="16"/>
        <v>0</v>
      </c>
      <c r="J317" s="516"/>
      <c r="K317" s="652"/>
      <c r="L317" s="522"/>
      <c r="M317" s="652"/>
      <c r="N317" s="522"/>
      <c r="O317" s="522"/>
    </row>
    <row r="318" spans="3:15">
      <c r="C318" s="512">
        <f>IF(D275="","-",+C317+1)</f>
        <v>2050</v>
      </c>
      <c r="D318" s="477">
        <f t="shared" si="13"/>
        <v>770424.59649124101</v>
      </c>
      <c r="E318" s="519">
        <f t="shared" si="17"/>
        <v>577818.44736842101</v>
      </c>
      <c r="F318" s="477">
        <f t="shared" si="12"/>
        <v>192606.14912282</v>
      </c>
      <c r="G318" s="954">
        <f t="shared" si="14"/>
        <v>631309.37418538821</v>
      </c>
      <c r="H318" s="957">
        <f t="shared" si="15"/>
        <v>631309.37418538821</v>
      </c>
      <c r="I318" s="516">
        <f t="shared" si="16"/>
        <v>0</v>
      </c>
      <c r="J318" s="516"/>
      <c r="K318" s="652"/>
      <c r="L318" s="522"/>
      <c r="M318" s="652"/>
      <c r="N318" s="522"/>
      <c r="O318" s="522"/>
    </row>
    <row r="319" spans="3:15">
      <c r="C319" s="512">
        <f>IF(D275="","-",+C318+1)</f>
        <v>2051</v>
      </c>
      <c r="D319" s="477">
        <f t="shared" si="13"/>
        <v>192606.14912282</v>
      </c>
      <c r="E319" s="519">
        <f t="shared" si="17"/>
        <v>192606.14912282</v>
      </c>
      <c r="F319" s="477">
        <f t="shared" si="12"/>
        <v>0</v>
      </c>
      <c r="G319" s="954">
        <f t="shared" si="14"/>
        <v>203304.33448621386</v>
      </c>
      <c r="H319" s="957">
        <f t="shared" si="15"/>
        <v>203304.33448621386</v>
      </c>
      <c r="I319" s="516">
        <f t="shared" si="16"/>
        <v>0</v>
      </c>
      <c r="J319" s="516"/>
      <c r="K319" s="652"/>
      <c r="L319" s="522"/>
      <c r="M319" s="652"/>
      <c r="N319" s="522"/>
      <c r="O319" s="522"/>
    </row>
    <row r="320" spans="3:15">
      <c r="C320" s="512">
        <f>IF(D275="","-",+C319+1)</f>
        <v>2052</v>
      </c>
      <c r="D320" s="477">
        <f t="shared" si="13"/>
        <v>0</v>
      </c>
      <c r="E320" s="519">
        <f t="shared" si="17"/>
        <v>0</v>
      </c>
      <c r="F320" s="477">
        <f t="shared" si="12"/>
        <v>0</v>
      </c>
      <c r="G320" s="954">
        <f t="shared" si="14"/>
        <v>0</v>
      </c>
      <c r="H320" s="957">
        <f t="shared" si="15"/>
        <v>0</v>
      </c>
      <c r="I320" s="516">
        <f t="shared" si="16"/>
        <v>0</v>
      </c>
      <c r="J320" s="516"/>
      <c r="K320" s="652"/>
      <c r="L320" s="522"/>
      <c r="M320" s="652"/>
      <c r="N320" s="522"/>
      <c r="O320" s="522"/>
    </row>
    <row r="321" spans="3:15">
      <c r="C321" s="512">
        <f>IF(D275="","-",+C320+1)</f>
        <v>2053</v>
      </c>
      <c r="D321" s="477">
        <f t="shared" si="13"/>
        <v>0</v>
      </c>
      <c r="E321" s="519">
        <f t="shared" si="17"/>
        <v>0</v>
      </c>
      <c r="F321" s="477">
        <f t="shared" si="12"/>
        <v>0</v>
      </c>
      <c r="G321" s="954">
        <f t="shared" si="14"/>
        <v>0</v>
      </c>
      <c r="H321" s="957">
        <f t="shared" si="15"/>
        <v>0</v>
      </c>
      <c r="I321" s="516">
        <f t="shared" si="16"/>
        <v>0</v>
      </c>
      <c r="J321" s="516"/>
      <c r="K321" s="652"/>
      <c r="L321" s="522"/>
      <c r="M321" s="652"/>
      <c r="N321" s="522"/>
      <c r="O321" s="522"/>
    </row>
    <row r="322" spans="3:15">
      <c r="C322" s="512">
        <f>IF(D275="","-",+C321+1)</f>
        <v>2054</v>
      </c>
      <c r="D322" s="477">
        <f t="shared" si="13"/>
        <v>0</v>
      </c>
      <c r="E322" s="519">
        <f t="shared" si="17"/>
        <v>0</v>
      </c>
      <c r="F322" s="477">
        <f t="shared" si="12"/>
        <v>0</v>
      </c>
      <c r="G322" s="954">
        <f t="shared" si="14"/>
        <v>0</v>
      </c>
      <c r="H322" s="957">
        <f t="shared" si="15"/>
        <v>0</v>
      </c>
      <c r="I322" s="516">
        <f t="shared" si="16"/>
        <v>0</v>
      </c>
      <c r="J322" s="516"/>
      <c r="K322" s="652"/>
      <c r="L322" s="522"/>
      <c r="M322" s="652"/>
      <c r="N322" s="522"/>
      <c r="O322" s="522"/>
    </row>
    <row r="323" spans="3:15">
      <c r="C323" s="512">
        <f>IF(D275="","-",+C322+1)</f>
        <v>2055</v>
      </c>
      <c r="D323" s="477">
        <f t="shared" si="13"/>
        <v>0</v>
      </c>
      <c r="E323" s="519">
        <f t="shared" si="17"/>
        <v>0</v>
      </c>
      <c r="F323" s="477">
        <f t="shared" si="12"/>
        <v>0</v>
      </c>
      <c r="G323" s="954">
        <f t="shared" si="14"/>
        <v>0</v>
      </c>
      <c r="H323" s="957">
        <f t="shared" si="15"/>
        <v>0</v>
      </c>
      <c r="I323" s="516">
        <f t="shared" si="16"/>
        <v>0</v>
      </c>
      <c r="J323" s="516"/>
      <c r="K323" s="652"/>
      <c r="L323" s="522"/>
      <c r="M323" s="652"/>
      <c r="N323" s="522"/>
      <c r="O323" s="522"/>
    </row>
    <row r="324" spans="3:15">
      <c r="C324" s="512">
        <f>IF(D275="","-",+C323+1)</f>
        <v>2056</v>
      </c>
      <c r="D324" s="477">
        <f t="shared" si="13"/>
        <v>0</v>
      </c>
      <c r="E324" s="519">
        <f t="shared" si="17"/>
        <v>0</v>
      </c>
      <c r="F324" s="477">
        <f t="shared" si="12"/>
        <v>0</v>
      </c>
      <c r="G324" s="954">
        <f t="shared" si="14"/>
        <v>0</v>
      </c>
      <c r="H324" s="957">
        <f t="shared" si="15"/>
        <v>0</v>
      </c>
      <c r="I324" s="516">
        <f t="shared" si="16"/>
        <v>0</v>
      </c>
      <c r="J324" s="516"/>
      <c r="K324" s="652"/>
      <c r="L324" s="522"/>
      <c r="M324" s="652"/>
      <c r="N324" s="522"/>
      <c r="O324" s="522"/>
    </row>
    <row r="325" spans="3:15">
      <c r="C325" s="512">
        <f>IF(D275="","-",+C324+1)</f>
        <v>2057</v>
      </c>
      <c r="D325" s="477">
        <f t="shared" si="13"/>
        <v>0</v>
      </c>
      <c r="E325" s="519">
        <f t="shared" si="17"/>
        <v>0</v>
      </c>
      <c r="F325" s="477">
        <f t="shared" si="12"/>
        <v>0</v>
      </c>
      <c r="G325" s="954">
        <f t="shared" si="14"/>
        <v>0</v>
      </c>
      <c r="H325" s="957">
        <f t="shared" si="15"/>
        <v>0</v>
      </c>
      <c r="I325" s="516">
        <f t="shared" si="16"/>
        <v>0</v>
      </c>
      <c r="J325" s="516"/>
      <c r="K325" s="652"/>
      <c r="L325" s="522"/>
      <c r="M325" s="652"/>
      <c r="N325" s="522"/>
      <c r="O325" s="522"/>
    </row>
    <row r="326" spans="3:15">
      <c r="C326" s="512">
        <f>IF(D275="","-",+C325+1)</f>
        <v>2058</v>
      </c>
      <c r="D326" s="477">
        <f t="shared" si="13"/>
        <v>0</v>
      </c>
      <c r="E326" s="519">
        <f t="shared" si="17"/>
        <v>0</v>
      </c>
      <c r="F326" s="477">
        <f t="shared" si="12"/>
        <v>0</v>
      </c>
      <c r="G326" s="954">
        <f t="shared" si="14"/>
        <v>0</v>
      </c>
      <c r="H326" s="957">
        <f t="shared" si="15"/>
        <v>0</v>
      </c>
      <c r="I326" s="516">
        <f t="shared" si="16"/>
        <v>0</v>
      </c>
      <c r="J326" s="516"/>
      <c r="K326" s="652"/>
      <c r="L326" s="522"/>
      <c r="M326" s="652"/>
      <c r="N326" s="522"/>
      <c r="O326" s="522"/>
    </row>
    <row r="327" spans="3:15">
      <c r="C327" s="512">
        <f>IF(D275="","-",+C326+1)</f>
        <v>2059</v>
      </c>
      <c r="D327" s="477">
        <f t="shared" si="13"/>
        <v>0</v>
      </c>
      <c r="E327" s="519">
        <f t="shared" si="17"/>
        <v>0</v>
      </c>
      <c r="F327" s="477">
        <f t="shared" si="12"/>
        <v>0</v>
      </c>
      <c r="G327" s="954">
        <f t="shared" si="14"/>
        <v>0</v>
      </c>
      <c r="H327" s="957">
        <f t="shared" si="15"/>
        <v>0</v>
      </c>
      <c r="I327" s="516">
        <f t="shared" si="16"/>
        <v>0</v>
      </c>
      <c r="J327" s="516"/>
      <c r="K327" s="652"/>
      <c r="L327" s="522"/>
      <c r="M327" s="652"/>
      <c r="N327" s="522"/>
      <c r="O327" s="522"/>
    </row>
    <row r="328" spans="3:15">
      <c r="C328" s="512">
        <f>IF(D275="","-",+C327+1)</f>
        <v>2060</v>
      </c>
      <c r="D328" s="477">
        <f t="shared" si="13"/>
        <v>0</v>
      </c>
      <c r="E328" s="519">
        <f t="shared" si="17"/>
        <v>0</v>
      </c>
      <c r="F328" s="477">
        <f t="shared" si="12"/>
        <v>0</v>
      </c>
      <c r="G328" s="954">
        <f t="shared" si="14"/>
        <v>0</v>
      </c>
      <c r="H328" s="957">
        <f t="shared" si="15"/>
        <v>0</v>
      </c>
      <c r="I328" s="516">
        <f t="shared" si="16"/>
        <v>0</v>
      </c>
      <c r="J328" s="516"/>
      <c r="K328" s="652"/>
      <c r="L328" s="522"/>
      <c r="M328" s="652"/>
      <c r="N328" s="522"/>
      <c r="O328" s="522"/>
    </row>
    <row r="329" spans="3:15">
      <c r="C329" s="512">
        <f>IF(D275="","-",+C328+1)</f>
        <v>2061</v>
      </c>
      <c r="D329" s="477">
        <f t="shared" si="13"/>
        <v>0</v>
      </c>
      <c r="E329" s="519">
        <f t="shared" si="17"/>
        <v>0</v>
      </c>
      <c r="F329" s="477">
        <f t="shared" si="12"/>
        <v>0</v>
      </c>
      <c r="G329" s="954">
        <f t="shared" si="14"/>
        <v>0</v>
      </c>
      <c r="H329" s="957">
        <f t="shared" si="15"/>
        <v>0</v>
      </c>
      <c r="I329" s="516">
        <f t="shared" si="16"/>
        <v>0</v>
      </c>
      <c r="J329" s="516"/>
      <c r="K329" s="652"/>
      <c r="L329" s="522"/>
      <c r="M329" s="652"/>
      <c r="N329" s="522"/>
      <c r="O329" s="522"/>
    </row>
    <row r="330" spans="3:15">
      <c r="C330" s="512">
        <f>IF(D275="","-",+C329+1)</f>
        <v>2062</v>
      </c>
      <c r="D330" s="477">
        <f t="shared" si="13"/>
        <v>0</v>
      </c>
      <c r="E330" s="519">
        <f t="shared" si="17"/>
        <v>0</v>
      </c>
      <c r="F330" s="477">
        <f t="shared" si="12"/>
        <v>0</v>
      </c>
      <c r="G330" s="954">
        <f t="shared" si="14"/>
        <v>0</v>
      </c>
      <c r="H330" s="957">
        <f t="shared" si="15"/>
        <v>0</v>
      </c>
      <c r="I330" s="516">
        <f t="shared" si="16"/>
        <v>0</v>
      </c>
      <c r="J330" s="516"/>
      <c r="K330" s="652"/>
      <c r="L330" s="522"/>
      <c r="M330" s="652"/>
      <c r="N330" s="522"/>
      <c r="O330" s="522"/>
    </row>
    <row r="331" spans="3:15">
      <c r="C331" s="512">
        <f>IF(D275="","-",+C330+1)</f>
        <v>2063</v>
      </c>
      <c r="D331" s="477">
        <f t="shared" si="13"/>
        <v>0</v>
      </c>
      <c r="E331" s="519">
        <f t="shared" si="17"/>
        <v>0</v>
      </c>
      <c r="F331" s="477">
        <f t="shared" si="12"/>
        <v>0</v>
      </c>
      <c r="G331" s="954">
        <f t="shared" si="14"/>
        <v>0</v>
      </c>
      <c r="H331" s="957">
        <f t="shared" si="15"/>
        <v>0</v>
      </c>
      <c r="I331" s="516">
        <f t="shared" si="16"/>
        <v>0</v>
      </c>
      <c r="J331" s="516"/>
      <c r="K331" s="652"/>
      <c r="L331" s="522"/>
      <c r="M331" s="652"/>
      <c r="N331" s="522"/>
      <c r="O331" s="522"/>
    </row>
    <row r="332" spans="3:15">
      <c r="C332" s="512">
        <f>IF(D275="","-",+C331+1)</f>
        <v>2064</v>
      </c>
      <c r="D332" s="477">
        <f t="shared" si="13"/>
        <v>0</v>
      </c>
      <c r="E332" s="519">
        <f t="shared" si="17"/>
        <v>0</v>
      </c>
      <c r="F332" s="477">
        <f t="shared" si="12"/>
        <v>0</v>
      </c>
      <c r="G332" s="954">
        <f t="shared" si="14"/>
        <v>0</v>
      </c>
      <c r="H332" s="957">
        <f t="shared" si="15"/>
        <v>0</v>
      </c>
      <c r="I332" s="516">
        <f t="shared" si="16"/>
        <v>0</v>
      </c>
      <c r="J332" s="516"/>
      <c r="K332" s="652"/>
      <c r="L332" s="522"/>
      <c r="M332" s="652"/>
      <c r="N332" s="522"/>
      <c r="O332" s="522"/>
    </row>
    <row r="333" spans="3:15">
      <c r="C333" s="512">
        <f>IF(D275="","-",+C332+1)</f>
        <v>2065</v>
      </c>
      <c r="D333" s="477">
        <f t="shared" si="13"/>
        <v>0</v>
      </c>
      <c r="E333" s="519">
        <f t="shared" si="17"/>
        <v>0</v>
      </c>
      <c r="F333" s="477">
        <f t="shared" si="12"/>
        <v>0</v>
      </c>
      <c r="G333" s="954">
        <f t="shared" si="14"/>
        <v>0</v>
      </c>
      <c r="H333" s="957">
        <f t="shared" si="15"/>
        <v>0</v>
      </c>
      <c r="I333" s="516">
        <f t="shared" si="16"/>
        <v>0</v>
      </c>
      <c r="J333" s="516"/>
      <c r="K333" s="652"/>
      <c r="L333" s="522"/>
      <c r="M333" s="652"/>
      <c r="N333" s="522"/>
      <c r="O333" s="522"/>
    </row>
    <row r="334" spans="3:15">
      <c r="C334" s="512">
        <f>IF(D275="","-",+C333+1)</f>
        <v>2066</v>
      </c>
      <c r="D334" s="477">
        <f t="shared" si="13"/>
        <v>0</v>
      </c>
      <c r="E334" s="519">
        <f t="shared" si="17"/>
        <v>0</v>
      </c>
      <c r="F334" s="477">
        <f t="shared" si="12"/>
        <v>0</v>
      </c>
      <c r="G334" s="954">
        <f t="shared" si="14"/>
        <v>0</v>
      </c>
      <c r="H334" s="957">
        <f t="shared" si="15"/>
        <v>0</v>
      </c>
      <c r="I334" s="516">
        <f t="shared" si="16"/>
        <v>0</v>
      </c>
      <c r="J334" s="516"/>
      <c r="K334" s="652"/>
      <c r="L334" s="522"/>
      <c r="M334" s="652"/>
      <c r="N334" s="522"/>
      <c r="O334" s="522"/>
    </row>
    <row r="335" spans="3:15">
      <c r="C335" s="512">
        <f>IF(D275="","-",+C334+1)</f>
        <v>2067</v>
      </c>
      <c r="D335" s="477">
        <f t="shared" si="13"/>
        <v>0</v>
      </c>
      <c r="E335" s="519">
        <f t="shared" si="17"/>
        <v>0</v>
      </c>
      <c r="F335" s="477">
        <f t="shared" si="12"/>
        <v>0</v>
      </c>
      <c r="G335" s="954">
        <f t="shared" si="14"/>
        <v>0</v>
      </c>
      <c r="H335" s="957">
        <f t="shared" si="15"/>
        <v>0</v>
      </c>
      <c r="I335" s="516">
        <f t="shared" si="16"/>
        <v>0</v>
      </c>
      <c r="J335" s="516"/>
      <c r="K335" s="652"/>
      <c r="L335" s="522"/>
      <c r="M335" s="652"/>
      <c r="N335" s="522"/>
      <c r="O335" s="522"/>
    </row>
    <row r="336" spans="3:15">
      <c r="C336" s="512">
        <f>IF(D275="","-",+C335+1)</f>
        <v>2068</v>
      </c>
      <c r="D336" s="477">
        <f t="shared" si="13"/>
        <v>0</v>
      </c>
      <c r="E336" s="519">
        <f t="shared" si="17"/>
        <v>0</v>
      </c>
      <c r="F336" s="477">
        <f t="shared" si="12"/>
        <v>0</v>
      </c>
      <c r="G336" s="954">
        <f t="shared" si="14"/>
        <v>0</v>
      </c>
      <c r="H336" s="957">
        <f t="shared" si="15"/>
        <v>0</v>
      </c>
      <c r="I336" s="516">
        <f t="shared" si="16"/>
        <v>0</v>
      </c>
      <c r="J336" s="516"/>
      <c r="K336" s="652"/>
      <c r="L336" s="522"/>
      <c r="M336" s="652"/>
      <c r="N336" s="522"/>
      <c r="O336" s="522"/>
    </row>
    <row r="337" spans="1:16">
      <c r="C337" s="512">
        <f>IF(D275="","-",+C336+1)</f>
        <v>2069</v>
      </c>
      <c r="D337" s="477">
        <f t="shared" si="13"/>
        <v>0</v>
      </c>
      <c r="E337" s="519">
        <f t="shared" si="17"/>
        <v>0</v>
      </c>
      <c r="F337" s="477">
        <f t="shared" si="12"/>
        <v>0</v>
      </c>
      <c r="G337" s="954">
        <f t="shared" si="14"/>
        <v>0</v>
      </c>
      <c r="H337" s="957">
        <f t="shared" si="15"/>
        <v>0</v>
      </c>
      <c r="I337" s="516">
        <f t="shared" si="16"/>
        <v>0</v>
      </c>
      <c r="J337" s="516"/>
      <c r="K337" s="652"/>
      <c r="L337" s="522"/>
      <c r="M337" s="652"/>
      <c r="N337" s="522"/>
      <c r="O337" s="522"/>
    </row>
    <row r="338" spans="1:16">
      <c r="C338" s="512">
        <f>IF(D275="","-",+C337+1)</f>
        <v>2070</v>
      </c>
      <c r="D338" s="477">
        <f t="shared" si="13"/>
        <v>0</v>
      </c>
      <c r="E338" s="519">
        <f t="shared" si="17"/>
        <v>0</v>
      </c>
      <c r="F338" s="477">
        <f t="shared" si="12"/>
        <v>0</v>
      </c>
      <c r="G338" s="954">
        <f t="shared" si="14"/>
        <v>0</v>
      </c>
      <c r="H338" s="957">
        <f t="shared" si="15"/>
        <v>0</v>
      </c>
      <c r="I338" s="516">
        <f t="shared" si="16"/>
        <v>0</v>
      </c>
      <c r="J338" s="516"/>
      <c r="K338" s="652"/>
      <c r="L338" s="522"/>
      <c r="M338" s="652"/>
      <c r="N338" s="522"/>
      <c r="O338" s="522"/>
    </row>
    <row r="339" spans="1:16">
      <c r="C339" s="512">
        <f>IF(D275="","-",+C338+1)</f>
        <v>2071</v>
      </c>
      <c r="D339" s="477">
        <f t="shared" si="13"/>
        <v>0</v>
      </c>
      <c r="E339" s="519">
        <f t="shared" si="17"/>
        <v>0</v>
      </c>
      <c r="F339" s="477">
        <f t="shared" si="12"/>
        <v>0</v>
      </c>
      <c r="G339" s="954">
        <f t="shared" si="14"/>
        <v>0</v>
      </c>
      <c r="H339" s="957">
        <f t="shared" si="15"/>
        <v>0</v>
      </c>
      <c r="I339" s="516">
        <f t="shared" si="16"/>
        <v>0</v>
      </c>
      <c r="J339" s="516"/>
      <c r="K339" s="652"/>
      <c r="L339" s="522"/>
      <c r="M339" s="652"/>
      <c r="N339" s="522"/>
      <c r="O339" s="522"/>
    </row>
    <row r="340" spans="1:16" ht="13.5" thickBot="1">
      <c r="C340" s="523">
        <f>IF(D275="","-",+C339+1)</f>
        <v>2072</v>
      </c>
      <c r="D340" s="524">
        <f t="shared" si="13"/>
        <v>0</v>
      </c>
      <c r="E340" s="525">
        <f t="shared" si="17"/>
        <v>0</v>
      </c>
      <c r="F340" s="524">
        <f t="shared" si="12"/>
        <v>0</v>
      </c>
      <c r="G340" s="966">
        <f t="shared" si="14"/>
        <v>0</v>
      </c>
      <c r="H340" s="966">
        <f t="shared" si="15"/>
        <v>0</v>
      </c>
      <c r="I340" s="527">
        <f t="shared" si="16"/>
        <v>0</v>
      </c>
      <c r="J340" s="516"/>
      <c r="K340" s="653"/>
      <c r="L340" s="529"/>
      <c r="M340" s="653"/>
      <c r="N340" s="529"/>
      <c r="O340" s="529"/>
    </row>
    <row r="341" spans="1:16">
      <c r="C341" s="477" t="s">
        <v>289</v>
      </c>
      <c r="D341" s="936"/>
      <c r="E341" s="936">
        <f>SUM(E281:E340)</f>
        <v>21957101.000000004</v>
      </c>
      <c r="F341" s="936"/>
      <c r="G341" s="936">
        <f>SUM(G281:G340)</f>
        <v>69114702.081837058</v>
      </c>
      <c r="H341" s="936">
        <f>SUM(H281:H340)</f>
        <v>69114702.081837058</v>
      </c>
      <c r="I341" s="936">
        <f>SUM(I281:I340)</f>
        <v>0</v>
      </c>
      <c r="J341" s="936"/>
      <c r="K341" s="936"/>
      <c r="L341" s="936"/>
      <c r="M341" s="936"/>
      <c r="N341" s="936"/>
      <c r="O341" s="4"/>
    </row>
    <row r="342" spans="1:16">
      <c r="D342" s="82"/>
      <c r="E342" s="4"/>
      <c r="F342" s="4"/>
      <c r="G342" s="4"/>
      <c r="H342" s="935"/>
      <c r="I342" s="935"/>
      <c r="J342" s="936"/>
      <c r="K342" s="935"/>
      <c r="L342" s="935"/>
      <c r="M342" s="935"/>
      <c r="N342" s="935"/>
      <c r="O342" s="4"/>
    </row>
    <row r="343" spans="1:16">
      <c r="C343" s="561" t="s">
        <v>931</v>
      </c>
      <c r="D343" s="82"/>
      <c r="E343" s="4"/>
      <c r="F343" s="4"/>
      <c r="G343" s="4"/>
      <c r="H343" s="935"/>
      <c r="I343" s="935"/>
      <c r="J343" s="936"/>
      <c r="K343" s="935"/>
      <c r="L343" s="935"/>
      <c r="M343" s="935"/>
      <c r="N343" s="935"/>
      <c r="O343" s="4"/>
    </row>
    <row r="344" spans="1:16">
      <c r="D344" s="82"/>
      <c r="E344" s="4"/>
      <c r="F344" s="4"/>
      <c r="G344" s="4"/>
      <c r="H344" s="935"/>
      <c r="I344" s="935"/>
      <c r="J344" s="936"/>
      <c r="K344" s="935"/>
      <c r="L344" s="935"/>
      <c r="M344" s="935"/>
      <c r="N344" s="935"/>
      <c r="O344" s="4"/>
    </row>
    <row r="345" spans="1:16">
      <c r="C345" s="489" t="s">
        <v>932</v>
      </c>
      <c r="D345" s="477"/>
      <c r="E345" s="477"/>
      <c r="F345" s="477"/>
      <c r="G345" s="936"/>
      <c r="H345" s="936"/>
      <c r="I345" s="479"/>
      <c r="J345" s="479"/>
      <c r="K345" s="479"/>
      <c r="L345" s="479"/>
      <c r="M345" s="479"/>
      <c r="N345" s="479"/>
      <c r="O345" s="4"/>
    </row>
    <row r="346" spans="1:16">
      <c r="C346" s="478" t="s">
        <v>477</v>
      </c>
      <c r="D346" s="477"/>
      <c r="E346" s="477"/>
      <c r="F346" s="477"/>
      <c r="G346" s="936"/>
      <c r="H346" s="936"/>
      <c r="I346" s="479"/>
      <c r="J346" s="479"/>
      <c r="K346" s="479"/>
      <c r="L346" s="479"/>
      <c r="M346" s="479"/>
      <c r="N346" s="479"/>
      <c r="O346" s="4"/>
    </row>
    <row r="347" spans="1:16">
      <c r="C347" s="478" t="s">
        <v>290</v>
      </c>
      <c r="D347" s="477"/>
      <c r="E347" s="477"/>
      <c r="F347" s="477"/>
      <c r="G347" s="936"/>
      <c r="H347" s="936"/>
      <c r="I347" s="479"/>
      <c r="J347" s="479"/>
      <c r="K347" s="479"/>
      <c r="L347" s="479"/>
      <c r="M347" s="479"/>
      <c r="N347" s="479"/>
      <c r="O347" s="4"/>
    </row>
    <row r="348" spans="1:16">
      <c r="C348" s="478"/>
      <c r="D348" s="477"/>
      <c r="E348" s="477"/>
      <c r="F348" s="477"/>
      <c r="G348" s="936"/>
      <c r="H348" s="936"/>
      <c r="I348" s="479"/>
      <c r="J348" s="479"/>
      <c r="K348" s="479"/>
      <c r="L348" s="479"/>
      <c r="M348" s="479"/>
      <c r="N348" s="479"/>
      <c r="O348" s="4"/>
    </row>
    <row r="349" spans="1:16">
      <c r="C349" s="1273" t="s">
        <v>461</v>
      </c>
      <c r="D349" s="1273"/>
      <c r="E349" s="1273"/>
      <c r="F349" s="1273"/>
      <c r="G349" s="1273"/>
      <c r="H349" s="1273"/>
      <c r="I349" s="1273"/>
      <c r="J349" s="1273"/>
      <c r="K349" s="1273"/>
      <c r="L349" s="1273"/>
      <c r="M349" s="1273"/>
      <c r="N349" s="1273"/>
      <c r="O349" s="1273"/>
    </row>
    <row r="350" spans="1:16">
      <c r="C350" s="1273"/>
      <c r="D350" s="1273"/>
      <c r="E350" s="1273"/>
      <c r="F350" s="1273"/>
      <c r="G350" s="1273"/>
      <c r="H350" s="1273"/>
      <c r="I350" s="1273"/>
      <c r="J350" s="1273"/>
      <c r="K350" s="1273"/>
      <c r="L350" s="1273"/>
      <c r="M350" s="1273"/>
      <c r="N350" s="1273"/>
      <c r="O350" s="1273"/>
    </row>
    <row r="351" spans="1:16" ht="20.25">
      <c r="A351" s="419" t="s">
        <v>928</v>
      </c>
      <c r="B351" s="4"/>
      <c r="C351" s="4"/>
      <c r="D351" s="82"/>
      <c r="E351" s="4"/>
      <c r="F351" s="84"/>
      <c r="G351" s="4"/>
      <c r="H351" s="935"/>
      <c r="K351" s="11"/>
      <c r="L351" s="11"/>
      <c r="M351" s="11"/>
      <c r="N351" s="11" t="str">
        <f>"Page "&amp;P351&amp;" of "</f>
        <v xml:space="preserve">Page 5 of </v>
      </c>
      <c r="O351" s="420">
        <f>COUNT(P$6:P$59527)</f>
        <v>9</v>
      </c>
      <c r="P351" s="4">
        <v>5</v>
      </c>
    </row>
    <row r="352" spans="1:16">
      <c r="B352" s="4"/>
      <c r="C352" s="4"/>
      <c r="D352" s="82"/>
      <c r="E352" s="4"/>
      <c r="F352" s="4"/>
      <c r="G352" s="4"/>
      <c r="H352" s="935"/>
      <c r="I352" s="4"/>
      <c r="J352" s="4"/>
      <c r="K352" s="4"/>
      <c r="L352" s="4"/>
      <c r="M352" s="4"/>
      <c r="N352" s="4"/>
      <c r="O352" s="4"/>
    </row>
    <row r="353" spans="1:15" ht="18">
      <c r="B353" s="421" t="s">
        <v>175</v>
      </c>
      <c r="C353" s="480" t="s">
        <v>291</v>
      </c>
      <c r="D353" s="82"/>
      <c r="E353" s="4"/>
      <c r="F353" s="4"/>
      <c r="G353" s="4"/>
      <c r="H353" s="935"/>
      <c r="I353" s="935"/>
      <c r="J353" s="936"/>
      <c r="K353" s="935"/>
      <c r="L353" s="935"/>
      <c r="M353" s="935"/>
      <c r="N353" s="935"/>
      <c r="O353" s="4"/>
    </row>
    <row r="354" spans="1:15" ht="18.75">
      <c r="B354" s="421"/>
      <c r="C354" s="13"/>
      <c r="D354" s="82"/>
      <c r="E354" s="4"/>
      <c r="F354" s="4"/>
      <c r="G354" s="4"/>
      <c r="H354" s="935"/>
      <c r="I354" s="935"/>
      <c r="J354" s="936"/>
      <c r="K354" s="935"/>
      <c r="L354" s="935"/>
      <c r="M354" s="935"/>
      <c r="N354" s="935"/>
      <c r="O354" s="4"/>
    </row>
    <row r="355" spans="1:15" ht="18.75">
      <c r="B355" s="421"/>
      <c r="C355" s="13" t="s">
        <v>292</v>
      </c>
      <c r="D355" s="82"/>
      <c r="E355" s="4"/>
      <c r="F355" s="4"/>
      <c r="G355" s="4"/>
      <c r="H355" s="935"/>
      <c r="I355" s="935"/>
      <c r="J355" s="936"/>
      <c r="K355" s="935"/>
      <c r="L355" s="935"/>
      <c r="M355" s="935"/>
      <c r="N355" s="935"/>
      <c r="O355" s="4"/>
    </row>
    <row r="356" spans="1:15" ht="15.75" thickBot="1">
      <c r="C356" s="254"/>
      <c r="D356" s="82"/>
      <c r="E356" s="4"/>
      <c r="F356" s="4"/>
      <c r="G356" s="4"/>
      <c r="H356" s="935"/>
      <c r="I356" s="935"/>
      <c r="J356" s="936"/>
      <c r="K356" s="935"/>
      <c r="L356" s="935"/>
      <c r="M356" s="935"/>
      <c r="N356" s="935"/>
      <c r="O356" s="4"/>
    </row>
    <row r="357" spans="1:15" ht="15.75">
      <c r="C357" s="422" t="s">
        <v>293</v>
      </c>
      <c r="D357" s="82"/>
      <c r="E357" s="4"/>
      <c r="F357" s="4"/>
      <c r="G357" s="937"/>
      <c r="H357" s="4" t="s">
        <v>272</v>
      </c>
      <c r="I357" s="4"/>
      <c r="J357" s="4"/>
      <c r="K357" s="481" t="s">
        <v>297</v>
      </c>
      <c r="L357" s="482"/>
      <c r="M357" s="483"/>
      <c r="N357" s="938">
        <f>VLOOKUP(I363,C370:O429,5)</f>
        <v>19082.781056966407</v>
      </c>
      <c r="O357" s="4"/>
    </row>
    <row r="358" spans="1:15" ht="15.75">
      <c r="C358" s="422"/>
      <c r="D358" s="82"/>
      <c r="E358" s="4"/>
      <c r="F358" s="4"/>
      <c r="G358" s="4"/>
      <c r="H358" s="939"/>
      <c r="I358" s="939"/>
      <c r="J358" s="940"/>
      <c r="K358" s="486" t="s">
        <v>298</v>
      </c>
      <c r="L358" s="941"/>
      <c r="M358" s="4"/>
      <c r="N358" s="942">
        <f>VLOOKUP(I363,C370:O429,6)</f>
        <v>19082.781056966407</v>
      </c>
      <c r="O358" s="4"/>
    </row>
    <row r="359" spans="1:15" ht="13.5" thickBot="1">
      <c r="C359" s="487" t="s">
        <v>294</v>
      </c>
      <c r="D359" s="1274" t="s">
        <v>935</v>
      </c>
      <c r="E359" s="1275"/>
      <c r="F359" s="1275"/>
      <c r="G359" s="1275"/>
      <c r="H359" s="1275"/>
      <c r="I359" s="1275"/>
      <c r="J359" s="936"/>
      <c r="K359" s="943" t="s">
        <v>451</v>
      </c>
      <c r="L359" s="944"/>
      <c r="M359" s="944"/>
      <c r="N359" s="945">
        <f>+N358-N357</f>
        <v>0</v>
      </c>
      <c r="O359" s="4"/>
    </row>
    <row r="360" spans="1:15">
      <c r="C360" s="489"/>
      <c r="D360" s="1275"/>
      <c r="E360" s="1275"/>
      <c r="F360" s="1275"/>
      <c r="G360" s="1275"/>
      <c r="H360" s="1275"/>
      <c r="I360" s="1275"/>
      <c r="J360" s="936"/>
      <c r="K360" s="935"/>
      <c r="L360" s="935"/>
      <c r="M360" s="935"/>
      <c r="N360" s="935"/>
      <c r="O360" s="4"/>
    </row>
    <row r="361" spans="1:15" ht="13.5" thickBot="1">
      <c r="C361" s="489"/>
      <c r="D361" s="4"/>
      <c r="E361" s="490"/>
      <c r="F361" s="490"/>
      <c r="G361" s="490"/>
      <c r="H361" s="490"/>
      <c r="I361" s="490"/>
      <c r="J361" s="490"/>
      <c r="K361" s="490"/>
      <c r="L361" s="490"/>
      <c r="M361" s="490"/>
      <c r="N361" s="490"/>
      <c r="O361" s="4"/>
    </row>
    <row r="362" spans="1:15" ht="13.5" thickBot="1">
      <c r="C362" s="491" t="s">
        <v>295</v>
      </c>
      <c r="D362" s="492"/>
      <c r="E362" s="492"/>
      <c r="F362" s="492"/>
      <c r="G362" s="492"/>
      <c r="H362" s="492"/>
      <c r="I362" s="493"/>
      <c r="K362" s="4"/>
      <c r="L362" s="4"/>
      <c r="M362" s="4"/>
      <c r="N362" s="4"/>
      <c r="O362" s="4"/>
    </row>
    <row r="363" spans="1:15" ht="15">
      <c r="C363" s="494" t="s">
        <v>273</v>
      </c>
      <c r="D363" s="946">
        <v>143986</v>
      </c>
      <c r="E363" s="4" t="s">
        <v>274</v>
      </c>
      <c r="G363" s="82"/>
      <c r="H363" s="82"/>
      <c r="I363" s="495">
        <v>2018</v>
      </c>
      <c r="J363" s="138"/>
      <c r="K363" s="1272" t="s">
        <v>460</v>
      </c>
      <c r="L363" s="1272"/>
      <c r="M363" s="1272"/>
      <c r="N363" s="1272"/>
      <c r="O363" s="1272"/>
    </row>
    <row r="364" spans="1:15">
      <c r="C364" s="494" t="s">
        <v>276</v>
      </c>
      <c r="D364" s="647">
        <v>2016</v>
      </c>
      <c r="E364" s="494" t="s">
        <v>277</v>
      </c>
      <c r="F364" s="82"/>
      <c r="H364"/>
      <c r="I364" s="650">
        <f>IF(G357="",0,$F$15)</f>
        <v>0</v>
      </c>
      <c r="J364" s="496"/>
      <c r="K364" s="936" t="s">
        <v>460</v>
      </c>
    </row>
    <row r="365" spans="1:15">
      <c r="C365" s="494" t="s">
        <v>278</v>
      </c>
      <c r="D365" s="946">
        <v>10</v>
      </c>
      <c r="E365" s="494" t="s">
        <v>279</v>
      </c>
      <c r="F365" s="82"/>
      <c r="H365"/>
      <c r="I365" s="497">
        <f>$G$70</f>
        <v>0.11108872081308177</v>
      </c>
      <c r="J365" s="84"/>
      <c r="K365" t="str">
        <f>"          INPUT PROJECTED ARR (WITH &amp; WITHOUT INCENTIVES) FROM EACH PRIOR YEAR"</f>
        <v xml:space="preserve">          INPUT PROJECTED ARR (WITH &amp; WITHOUT INCENTIVES) FROM EACH PRIOR YEAR</v>
      </c>
    </row>
    <row r="366" spans="1:15">
      <c r="C366" s="494" t="s">
        <v>280</v>
      </c>
      <c r="D366" s="498">
        <f>G$79</f>
        <v>38</v>
      </c>
      <c r="E366" s="494" t="s">
        <v>281</v>
      </c>
      <c r="F366" s="82"/>
      <c r="H366"/>
      <c r="I366" s="497">
        <f>IF(G357="",I365,$G$67)</f>
        <v>0.11108872081308177</v>
      </c>
      <c r="J366" s="84"/>
      <c r="K366" t="s">
        <v>358</v>
      </c>
    </row>
    <row r="367" spans="1:15" ht="13.5" thickBot="1">
      <c r="C367" s="494" t="s">
        <v>282</v>
      </c>
      <c r="D367" s="649" t="s">
        <v>930</v>
      </c>
      <c r="E367" s="499" t="s">
        <v>283</v>
      </c>
      <c r="F367" s="500"/>
      <c r="G367" s="501"/>
      <c r="H367" s="501"/>
      <c r="I367" s="945">
        <f>IF(D363=0,0,D363/D366)</f>
        <v>3789.1052631578946</v>
      </c>
      <c r="J367" s="936"/>
      <c r="K367" s="936" t="s">
        <v>364</v>
      </c>
      <c r="L367" s="936"/>
      <c r="M367" s="936"/>
      <c r="N367" s="936"/>
      <c r="O367" s="4"/>
    </row>
    <row r="368" spans="1:15" ht="51">
      <c r="A368" s="12"/>
      <c r="B368" s="12"/>
      <c r="C368" s="502" t="s">
        <v>273</v>
      </c>
      <c r="D368" s="947" t="s">
        <v>284</v>
      </c>
      <c r="E368" s="948" t="s">
        <v>285</v>
      </c>
      <c r="F368" s="947" t="s">
        <v>286</v>
      </c>
      <c r="G368" s="948" t="s">
        <v>357</v>
      </c>
      <c r="H368" s="949" t="s">
        <v>357</v>
      </c>
      <c r="I368" s="502" t="s">
        <v>296</v>
      </c>
      <c r="J368" s="506"/>
      <c r="K368" s="948" t="s">
        <v>366</v>
      </c>
      <c r="L368" s="950"/>
      <c r="M368" s="948" t="s">
        <v>366</v>
      </c>
      <c r="N368" s="950"/>
      <c r="O368" s="950"/>
    </row>
    <row r="369" spans="3:15" ht="13.5" thickBot="1">
      <c r="C369" s="507" t="s">
        <v>178</v>
      </c>
      <c r="D369" s="508" t="s">
        <v>179</v>
      </c>
      <c r="E369" s="507" t="s">
        <v>38</v>
      </c>
      <c r="F369" s="508" t="s">
        <v>179</v>
      </c>
      <c r="G369" s="951" t="s">
        <v>299</v>
      </c>
      <c r="H369" s="952" t="s">
        <v>301</v>
      </c>
      <c r="I369" s="507" t="s">
        <v>390</v>
      </c>
      <c r="J369" s="511"/>
      <c r="K369" s="951" t="s">
        <v>288</v>
      </c>
      <c r="L369" s="953"/>
      <c r="M369" s="951" t="s">
        <v>301</v>
      </c>
      <c r="N369" s="953"/>
      <c r="O369" s="953"/>
    </row>
    <row r="370" spans="3:15">
      <c r="C370" s="512">
        <f>IF(D364= "","-",D364)</f>
        <v>2016</v>
      </c>
      <c r="D370" s="477">
        <f>+D363</f>
        <v>143986</v>
      </c>
      <c r="E370" s="954">
        <f>+I367/12*(12-D365)</f>
        <v>631.51754385964909</v>
      </c>
      <c r="F370" s="477">
        <f t="shared" ref="F370:F429" si="18">+D370-E370</f>
        <v>143354.48245614034</v>
      </c>
      <c r="G370" s="955">
        <f>+$I$365*((D370+F370)/2)+E370</f>
        <v>16591.660860792847</v>
      </c>
      <c r="H370" s="956">
        <f>+$I$366*((D370+F370)/2)+E370</f>
        <v>16591.660860792847</v>
      </c>
      <c r="I370" s="516">
        <f>+H370-G370</f>
        <v>0</v>
      </c>
      <c r="J370" s="516"/>
      <c r="K370" s="652">
        <v>226163</v>
      </c>
      <c r="L370" s="518"/>
      <c r="M370" s="652">
        <v>226163</v>
      </c>
      <c r="N370" s="518"/>
      <c r="O370" s="518"/>
    </row>
    <row r="371" spans="3:15">
      <c r="C371" s="512">
        <f>IF(D364="","-",+C370+1)</f>
        <v>2017</v>
      </c>
      <c r="D371" s="477">
        <f t="shared" ref="D371:D429" si="19">F370</f>
        <v>143354.48245614034</v>
      </c>
      <c r="E371" s="519">
        <f>IF(D371&gt;$I$367,$I$367,D371)</f>
        <v>3789.1052631578946</v>
      </c>
      <c r="F371" s="477">
        <f t="shared" si="18"/>
        <v>139565.37719298244</v>
      </c>
      <c r="G371" s="954">
        <f t="shared" ref="G371:G429" si="20">+$I$365*((D371+F371)/2)+E371</f>
        <v>19503.707913676735</v>
      </c>
      <c r="H371" s="957">
        <f t="shared" ref="H371:H429" si="21">+$I$366*((D371+F371)/2)+E371</f>
        <v>19503.707913676735</v>
      </c>
      <c r="I371" s="516">
        <f t="shared" ref="I371:I429" si="22">+H371-G371</f>
        <v>0</v>
      </c>
      <c r="J371" s="516"/>
      <c r="K371" s="652">
        <v>7946</v>
      </c>
      <c r="L371" s="522"/>
      <c r="M371" s="652">
        <v>7946</v>
      </c>
      <c r="N371" s="522"/>
      <c r="O371" s="522"/>
    </row>
    <row r="372" spans="3:15">
      <c r="C372" s="959">
        <f>IF(D364="","-",+C371+1)</f>
        <v>2018</v>
      </c>
      <c r="D372" s="967">
        <f t="shared" si="19"/>
        <v>139565.37719298244</v>
      </c>
      <c r="E372" s="961">
        <f t="shared" ref="E372:E429" si="23">IF(D372&gt;$I$367,$I$367,D372)</f>
        <v>3789.1052631578946</v>
      </c>
      <c r="F372" s="960">
        <f t="shared" si="18"/>
        <v>135776.27192982455</v>
      </c>
      <c r="G372" s="962">
        <f t="shared" si="20"/>
        <v>19082.781056966407</v>
      </c>
      <c r="H372" s="963">
        <f t="shared" si="21"/>
        <v>19082.781056966407</v>
      </c>
      <c r="I372" s="964">
        <f t="shared" si="22"/>
        <v>0</v>
      </c>
      <c r="J372" s="516"/>
      <c r="K372" s="652"/>
      <c r="L372" s="522"/>
      <c r="M372" s="652"/>
      <c r="N372" s="522"/>
      <c r="O372" s="522"/>
    </row>
    <row r="373" spans="3:15">
      <c r="C373" s="512">
        <f>IF(D364="","-",+C372+1)</f>
        <v>2019</v>
      </c>
      <c r="D373" s="477">
        <f t="shared" si="19"/>
        <v>135776.27192982455</v>
      </c>
      <c r="E373" s="519">
        <f t="shared" si="23"/>
        <v>3789.1052631578946</v>
      </c>
      <c r="F373" s="477">
        <f t="shared" si="18"/>
        <v>131987.16666666666</v>
      </c>
      <c r="G373" s="954">
        <f t="shared" si="20"/>
        <v>18661.854200256083</v>
      </c>
      <c r="H373" s="957">
        <f t="shared" si="21"/>
        <v>18661.854200256083</v>
      </c>
      <c r="I373" s="516">
        <f t="shared" si="22"/>
        <v>0</v>
      </c>
      <c r="J373" s="516"/>
      <c r="K373" s="652"/>
      <c r="L373" s="522"/>
      <c r="M373" s="652"/>
      <c r="N373" s="522"/>
      <c r="O373" s="522"/>
    </row>
    <row r="374" spans="3:15">
      <c r="C374" s="512">
        <f>IF(D364="","-",+C373+1)</f>
        <v>2020</v>
      </c>
      <c r="D374" s="477">
        <f t="shared" si="19"/>
        <v>131987.16666666666</v>
      </c>
      <c r="E374" s="519">
        <f t="shared" si="23"/>
        <v>3789.1052631578946</v>
      </c>
      <c r="F374" s="477">
        <f t="shared" si="18"/>
        <v>128198.06140350876</v>
      </c>
      <c r="G374" s="954">
        <f t="shared" si="20"/>
        <v>18240.927343545754</v>
      </c>
      <c r="H374" s="957">
        <f t="shared" si="21"/>
        <v>18240.927343545754</v>
      </c>
      <c r="I374" s="516">
        <f t="shared" si="22"/>
        <v>0</v>
      </c>
      <c r="J374" s="516"/>
      <c r="K374" s="652"/>
      <c r="L374" s="522"/>
      <c r="M374" s="652"/>
      <c r="N374" s="522"/>
      <c r="O374" s="522"/>
    </row>
    <row r="375" spans="3:15">
      <c r="C375" s="512">
        <f>IF(D364="","-",+C374+1)</f>
        <v>2021</v>
      </c>
      <c r="D375" s="477">
        <f t="shared" si="19"/>
        <v>128198.06140350876</v>
      </c>
      <c r="E375" s="519">
        <f t="shared" si="23"/>
        <v>3789.1052631578946</v>
      </c>
      <c r="F375" s="477">
        <f t="shared" si="18"/>
        <v>124408.95614035087</v>
      </c>
      <c r="G375" s="954">
        <f t="shared" si="20"/>
        <v>17820.00048683543</v>
      </c>
      <c r="H375" s="957">
        <f t="shared" si="21"/>
        <v>17820.00048683543</v>
      </c>
      <c r="I375" s="516">
        <f t="shared" si="22"/>
        <v>0</v>
      </c>
      <c r="J375" s="516"/>
      <c r="K375" s="652"/>
      <c r="L375" s="522"/>
      <c r="M375" s="652"/>
      <c r="N375" s="522"/>
      <c r="O375" s="522"/>
    </row>
    <row r="376" spans="3:15">
      <c r="C376" s="512">
        <f>IF(D364="","-",+C375+1)</f>
        <v>2022</v>
      </c>
      <c r="D376" s="477">
        <f t="shared" si="19"/>
        <v>124408.95614035087</v>
      </c>
      <c r="E376" s="519">
        <f t="shared" si="23"/>
        <v>3789.1052631578946</v>
      </c>
      <c r="F376" s="477">
        <f t="shared" si="18"/>
        <v>120619.85087719298</v>
      </c>
      <c r="G376" s="954">
        <f t="shared" si="20"/>
        <v>17399.073630125105</v>
      </c>
      <c r="H376" s="957">
        <f t="shared" si="21"/>
        <v>17399.073630125105</v>
      </c>
      <c r="I376" s="516">
        <f t="shared" si="22"/>
        <v>0</v>
      </c>
      <c r="J376" s="516"/>
      <c r="K376" s="652"/>
      <c r="L376" s="522"/>
      <c r="M376" s="652"/>
      <c r="N376" s="522"/>
      <c r="O376" s="522"/>
    </row>
    <row r="377" spans="3:15">
      <c r="C377" s="512">
        <f>IF(D364="","-",+C376+1)</f>
        <v>2023</v>
      </c>
      <c r="D377" s="477">
        <f t="shared" si="19"/>
        <v>120619.85087719298</v>
      </c>
      <c r="E377" s="519">
        <f t="shared" si="23"/>
        <v>3789.1052631578946</v>
      </c>
      <c r="F377" s="477">
        <f t="shared" si="18"/>
        <v>116830.74561403508</v>
      </c>
      <c r="G377" s="954">
        <f t="shared" si="20"/>
        <v>16978.146773414777</v>
      </c>
      <c r="H377" s="957">
        <f t="shared" si="21"/>
        <v>16978.146773414777</v>
      </c>
      <c r="I377" s="516">
        <f t="shared" si="22"/>
        <v>0</v>
      </c>
      <c r="J377" s="516"/>
      <c r="K377" s="652"/>
      <c r="L377" s="522"/>
      <c r="M377" s="652"/>
      <c r="N377" s="522"/>
      <c r="O377" s="522"/>
    </row>
    <row r="378" spans="3:15">
      <c r="C378" s="512">
        <f>IF(D364="","-",+C377+1)</f>
        <v>2024</v>
      </c>
      <c r="D378" s="477">
        <f t="shared" si="19"/>
        <v>116830.74561403508</v>
      </c>
      <c r="E378" s="519">
        <f t="shared" si="23"/>
        <v>3789.1052631578946</v>
      </c>
      <c r="F378" s="477">
        <f t="shared" si="18"/>
        <v>113041.64035087719</v>
      </c>
      <c r="G378" s="954">
        <f t="shared" si="20"/>
        <v>16557.219916704453</v>
      </c>
      <c r="H378" s="957">
        <f t="shared" si="21"/>
        <v>16557.219916704453</v>
      </c>
      <c r="I378" s="516">
        <f t="shared" si="22"/>
        <v>0</v>
      </c>
      <c r="J378" s="516"/>
      <c r="K378" s="652"/>
      <c r="L378" s="522"/>
      <c r="M378" s="652"/>
      <c r="N378" s="522"/>
      <c r="O378" s="522"/>
    </row>
    <row r="379" spans="3:15">
      <c r="C379" s="512">
        <f>IF(D364="","-",+C378+1)</f>
        <v>2025</v>
      </c>
      <c r="D379" s="477">
        <f t="shared" si="19"/>
        <v>113041.64035087719</v>
      </c>
      <c r="E379" s="519">
        <f t="shared" si="23"/>
        <v>3789.1052631578946</v>
      </c>
      <c r="F379" s="477">
        <f t="shared" si="18"/>
        <v>109252.5350877193</v>
      </c>
      <c r="G379" s="954">
        <f t="shared" si="20"/>
        <v>16136.293059994126</v>
      </c>
      <c r="H379" s="957">
        <f t="shared" si="21"/>
        <v>16136.293059994126</v>
      </c>
      <c r="I379" s="516">
        <f t="shared" si="22"/>
        <v>0</v>
      </c>
      <c r="J379" s="516"/>
      <c r="K379" s="652"/>
      <c r="L379" s="522"/>
      <c r="M379" s="652"/>
      <c r="N379" s="522"/>
      <c r="O379" s="522"/>
    </row>
    <row r="380" spans="3:15">
      <c r="C380" s="512">
        <f>IF(D364="","-",+C379+1)</f>
        <v>2026</v>
      </c>
      <c r="D380" s="477">
        <f t="shared" si="19"/>
        <v>109252.5350877193</v>
      </c>
      <c r="E380" s="519">
        <f t="shared" si="23"/>
        <v>3789.1052631578946</v>
      </c>
      <c r="F380" s="477">
        <f t="shared" si="18"/>
        <v>105463.4298245614</v>
      </c>
      <c r="G380" s="954">
        <f t="shared" si="20"/>
        <v>15715.366203283802</v>
      </c>
      <c r="H380" s="957">
        <f t="shared" si="21"/>
        <v>15715.366203283802</v>
      </c>
      <c r="I380" s="516">
        <f t="shared" si="22"/>
        <v>0</v>
      </c>
      <c r="J380" s="516"/>
      <c r="K380" s="652"/>
      <c r="L380" s="522"/>
      <c r="M380" s="652"/>
      <c r="N380" s="522"/>
      <c r="O380" s="522"/>
    </row>
    <row r="381" spans="3:15">
      <c r="C381" s="512">
        <f>IF(D364="","-",+C380+1)</f>
        <v>2027</v>
      </c>
      <c r="D381" s="477">
        <f t="shared" si="19"/>
        <v>105463.4298245614</v>
      </c>
      <c r="E381" s="519">
        <f t="shared" si="23"/>
        <v>3789.1052631578946</v>
      </c>
      <c r="F381" s="477">
        <f t="shared" si="18"/>
        <v>101674.32456140351</v>
      </c>
      <c r="G381" s="954">
        <f t="shared" si="20"/>
        <v>15294.439346573476</v>
      </c>
      <c r="H381" s="957">
        <f t="shared" si="21"/>
        <v>15294.439346573476</v>
      </c>
      <c r="I381" s="516">
        <f t="shared" si="22"/>
        <v>0</v>
      </c>
      <c r="J381" s="516"/>
      <c r="K381" s="652"/>
      <c r="L381" s="522"/>
      <c r="M381" s="652"/>
      <c r="N381" s="522"/>
      <c r="O381" s="522"/>
    </row>
    <row r="382" spans="3:15">
      <c r="C382" s="512">
        <f>IF(D364="","-",+C381+1)</f>
        <v>2028</v>
      </c>
      <c r="D382" s="477">
        <f t="shared" si="19"/>
        <v>101674.32456140351</v>
      </c>
      <c r="E382" s="519">
        <f t="shared" si="23"/>
        <v>3789.1052631578946</v>
      </c>
      <c r="F382" s="477">
        <f t="shared" si="18"/>
        <v>97885.219298245618</v>
      </c>
      <c r="G382" s="954">
        <f t="shared" si="20"/>
        <v>14873.512489863149</v>
      </c>
      <c r="H382" s="957">
        <f t="shared" si="21"/>
        <v>14873.512489863149</v>
      </c>
      <c r="I382" s="516">
        <f t="shared" si="22"/>
        <v>0</v>
      </c>
      <c r="J382" s="516"/>
      <c r="K382" s="652"/>
      <c r="L382" s="522"/>
      <c r="M382" s="652"/>
      <c r="N382" s="522"/>
      <c r="O382" s="522"/>
    </row>
    <row r="383" spans="3:15">
      <c r="C383" s="512">
        <f>IF(D364="","-",+C382+1)</f>
        <v>2029</v>
      </c>
      <c r="D383" s="477">
        <f t="shared" si="19"/>
        <v>97885.219298245618</v>
      </c>
      <c r="E383" s="519">
        <f t="shared" si="23"/>
        <v>3789.1052631578946</v>
      </c>
      <c r="F383" s="477">
        <f t="shared" si="18"/>
        <v>94096.114035087725</v>
      </c>
      <c r="G383" s="954">
        <f t="shared" si="20"/>
        <v>14452.585633152823</v>
      </c>
      <c r="H383" s="957">
        <f t="shared" si="21"/>
        <v>14452.585633152823</v>
      </c>
      <c r="I383" s="516">
        <f t="shared" si="22"/>
        <v>0</v>
      </c>
      <c r="J383" s="516"/>
      <c r="K383" s="652"/>
      <c r="L383" s="522"/>
      <c r="M383" s="652"/>
      <c r="N383" s="522"/>
      <c r="O383" s="522"/>
    </row>
    <row r="384" spans="3:15">
      <c r="C384" s="512">
        <f>IF(D364="","-",+C383+1)</f>
        <v>2030</v>
      </c>
      <c r="D384" s="477">
        <f t="shared" si="19"/>
        <v>94096.114035087725</v>
      </c>
      <c r="E384" s="519">
        <f t="shared" si="23"/>
        <v>3789.1052631578946</v>
      </c>
      <c r="F384" s="477">
        <f t="shared" si="18"/>
        <v>90307.008771929832</v>
      </c>
      <c r="G384" s="954">
        <f t="shared" si="20"/>
        <v>14031.658776442497</v>
      </c>
      <c r="H384" s="957">
        <f t="shared" si="21"/>
        <v>14031.658776442497</v>
      </c>
      <c r="I384" s="516">
        <f t="shared" si="22"/>
        <v>0</v>
      </c>
      <c r="J384" s="516"/>
      <c r="K384" s="652"/>
      <c r="L384" s="522"/>
      <c r="M384" s="652"/>
      <c r="N384" s="522"/>
      <c r="O384" s="522"/>
    </row>
    <row r="385" spans="3:15">
      <c r="C385" s="512">
        <f>IF(D364="","-",+C384+1)</f>
        <v>2031</v>
      </c>
      <c r="D385" s="477">
        <f t="shared" si="19"/>
        <v>90307.008771929832</v>
      </c>
      <c r="E385" s="519">
        <f t="shared" si="23"/>
        <v>3789.1052631578946</v>
      </c>
      <c r="F385" s="477">
        <f t="shared" si="18"/>
        <v>86517.903508771939</v>
      </c>
      <c r="G385" s="954">
        <f t="shared" si="20"/>
        <v>13610.731919732172</v>
      </c>
      <c r="H385" s="957">
        <f t="shared" si="21"/>
        <v>13610.731919732172</v>
      </c>
      <c r="I385" s="516">
        <f t="shared" si="22"/>
        <v>0</v>
      </c>
      <c r="J385" s="516"/>
      <c r="K385" s="652"/>
      <c r="L385" s="522"/>
      <c r="M385" s="652"/>
      <c r="N385" s="522"/>
      <c r="O385" s="522"/>
    </row>
    <row r="386" spans="3:15">
      <c r="C386" s="512">
        <f>IF(D364="","-",+C385+1)</f>
        <v>2032</v>
      </c>
      <c r="D386" s="477">
        <f t="shared" si="19"/>
        <v>86517.903508771939</v>
      </c>
      <c r="E386" s="519">
        <f t="shared" si="23"/>
        <v>3789.1052631578946</v>
      </c>
      <c r="F386" s="477">
        <f t="shared" si="18"/>
        <v>82728.798245614045</v>
      </c>
      <c r="G386" s="954">
        <f t="shared" si="20"/>
        <v>13189.805063021846</v>
      </c>
      <c r="H386" s="957">
        <f t="shared" si="21"/>
        <v>13189.805063021846</v>
      </c>
      <c r="I386" s="516">
        <f t="shared" si="22"/>
        <v>0</v>
      </c>
      <c r="J386" s="516"/>
      <c r="K386" s="652"/>
      <c r="L386" s="522"/>
      <c r="M386" s="652"/>
      <c r="N386" s="522"/>
      <c r="O386" s="522"/>
    </row>
    <row r="387" spans="3:15">
      <c r="C387" s="512">
        <f>IF(D364="","-",+C386+1)</f>
        <v>2033</v>
      </c>
      <c r="D387" s="477">
        <f t="shared" si="19"/>
        <v>82728.798245614045</v>
      </c>
      <c r="E387" s="519">
        <f t="shared" si="23"/>
        <v>3789.1052631578946</v>
      </c>
      <c r="F387" s="477">
        <f t="shared" si="18"/>
        <v>78939.692982456152</v>
      </c>
      <c r="G387" s="954">
        <f t="shared" si="20"/>
        <v>12768.87820631152</v>
      </c>
      <c r="H387" s="957">
        <f t="shared" si="21"/>
        <v>12768.87820631152</v>
      </c>
      <c r="I387" s="516">
        <f t="shared" si="22"/>
        <v>0</v>
      </c>
      <c r="J387" s="516"/>
      <c r="K387" s="652"/>
      <c r="L387" s="522"/>
      <c r="M387" s="652"/>
      <c r="N387" s="522"/>
      <c r="O387" s="522"/>
    </row>
    <row r="388" spans="3:15">
      <c r="C388" s="512">
        <f>IF(D364="","-",+C387+1)</f>
        <v>2034</v>
      </c>
      <c r="D388" s="477">
        <f t="shared" si="19"/>
        <v>78939.692982456152</v>
      </c>
      <c r="E388" s="519">
        <f t="shared" si="23"/>
        <v>3789.1052631578946</v>
      </c>
      <c r="F388" s="477">
        <f t="shared" si="18"/>
        <v>75150.587719298259</v>
      </c>
      <c r="G388" s="954">
        <f t="shared" si="20"/>
        <v>12347.951349601193</v>
      </c>
      <c r="H388" s="957">
        <f t="shared" si="21"/>
        <v>12347.951349601193</v>
      </c>
      <c r="I388" s="516">
        <f t="shared" si="22"/>
        <v>0</v>
      </c>
      <c r="J388" s="516"/>
      <c r="K388" s="652"/>
      <c r="L388" s="522"/>
      <c r="M388" s="652"/>
      <c r="N388" s="522"/>
      <c r="O388" s="522"/>
    </row>
    <row r="389" spans="3:15">
      <c r="C389" s="512">
        <f>IF(D364="","-",+C388+1)</f>
        <v>2035</v>
      </c>
      <c r="D389" s="477">
        <f t="shared" si="19"/>
        <v>75150.587719298259</v>
      </c>
      <c r="E389" s="519">
        <f t="shared" si="23"/>
        <v>3789.1052631578946</v>
      </c>
      <c r="F389" s="477">
        <f t="shared" si="18"/>
        <v>71361.482456140366</v>
      </c>
      <c r="G389" s="954">
        <f t="shared" si="20"/>
        <v>11927.024492890867</v>
      </c>
      <c r="H389" s="957">
        <f t="shared" si="21"/>
        <v>11927.024492890867</v>
      </c>
      <c r="I389" s="516">
        <f t="shared" si="22"/>
        <v>0</v>
      </c>
      <c r="J389" s="516"/>
      <c r="K389" s="652"/>
      <c r="L389" s="522"/>
      <c r="M389" s="652"/>
      <c r="N389" s="522"/>
      <c r="O389" s="522"/>
    </row>
    <row r="390" spans="3:15">
      <c r="C390" s="512">
        <f>IF(D364="","-",+C389+1)</f>
        <v>2036</v>
      </c>
      <c r="D390" s="477">
        <f t="shared" si="19"/>
        <v>71361.482456140366</v>
      </c>
      <c r="E390" s="519">
        <f t="shared" si="23"/>
        <v>3789.1052631578946</v>
      </c>
      <c r="F390" s="477">
        <f t="shared" si="18"/>
        <v>67572.377192982472</v>
      </c>
      <c r="G390" s="954">
        <f t="shared" si="20"/>
        <v>11506.097636180541</v>
      </c>
      <c r="H390" s="957">
        <f t="shared" si="21"/>
        <v>11506.097636180541</v>
      </c>
      <c r="I390" s="516">
        <f t="shared" si="22"/>
        <v>0</v>
      </c>
      <c r="J390" s="516"/>
      <c r="K390" s="652"/>
      <c r="L390" s="522"/>
      <c r="M390" s="652"/>
      <c r="N390" s="522"/>
      <c r="O390" s="522"/>
    </row>
    <row r="391" spans="3:15">
      <c r="C391" s="512">
        <f>IF(D364="","-",+C390+1)</f>
        <v>2037</v>
      </c>
      <c r="D391" s="477">
        <f t="shared" si="19"/>
        <v>67572.377192982472</v>
      </c>
      <c r="E391" s="519">
        <f t="shared" si="23"/>
        <v>3789.1052631578946</v>
      </c>
      <c r="F391" s="477">
        <f t="shared" si="18"/>
        <v>63783.271929824579</v>
      </c>
      <c r="G391" s="954">
        <f t="shared" si="20"/>
        <v>11085.170779470216</v>
      </c>
      <c r="H391" s="957">
        <f t="shared" si="21"/>
        <v>11085.170779470216</v>
      </c>
      <c r="I391" s="516">
        <f t="shared" si="22"/>
        <v>0</v>
      </c>
      <c r="J391" s="516"/>
      <c r="K391" s="652"/>
      <c r="L391" s="522"/>
      <c r="M391" s="652"/>
      <c r="N391" s="522"/>
      <c r="O391" s="522"/>
    </row>
    <row r="392" spans="3:15">
      <c r="C392" s="512">
        <f>IF(D364="","-",+C391+1)</f>
        <v>2038</v>
      </c>
      <c r="D392" s="477">
        <f t="shared" si="19"/>
        <v>63783.271929824579</v>
      </c>
      <c r="E392" s="519">
        <f t="shared" si="23"/>
        <v>3789.1052631578946</v>
      </c>
      <c r="F392" s="477">
        <f t="shared" si="18"/>
        <v>59994.166666666686</v>
      </c>
      <c r="G392" s="954">
        <f t="shared" si="20"/>
        <v>10664.24392275989</v>
      </c>
      <c r="H392" s="957">
        <f t="shared" si="21"/>
        <v>10664.24392275989</v>
      </c>
      <c r="I392" s="516">
        <f t="shared" si="22"/>
        <v>0</v>
      </c>
      <c r="J392" s="516"/>
      <c r="K392" s="652"/>
      <c r="L392" s="522"/>
      <c r="M392" s="652"/>
      <c r="N392" s="522"/>
      <c r="O392" s="522"/>
    </row>
    <row r="393" spans="3:15">
      <c r="C393" s="512">
        <f>IF(D364="","-",+C392+1)</f>
        <v>2039</v>
      </c>
      <c r="D393" s="477">
        <f t="shared" si="19"/>
        <v>59994.166666666686</v>
      </c>
      <c r="E393" s="519">
        <f t="shared" si="23"/>
        <v>3789.1052631578946</v>
      </c>
      <c r="F393" s="477">
        <f t="shared" si="18"/>
        <v>56205.061403508793</v>
      </c>
      <c r="G393" s="954">
        <f t="shared" si="20"/>
        <v>10243.317066049563</v>
      </c>
      <c r="H393" s="957">
        <f t="shared" si="21"/>
        <v>10243.317066049563</v>
      </c>
      <c r="I393" s="516">
        <f t="shared" si="22"/>
        <v>0</v>
      </c>
      <c r="J393" s="516"/>
      <c r="K393" s="652"/>
      <c r="L393" s="522"/>
      <c r="M393" s="652"/>
      <c r="N393" s="522"/>
      <c r="O393" s="522"/>
    </row>
    <row r="394" spans="3:15">
      <c r="C394" s="512">
        <f>IF(D364="","-",+C393+1)</f>
        <v>2040</v>
      </c>
      <c r="D394" s="477">
        <f t="shared" si="19"/>
        <v>56205.061403508793</v>
      </c>
      <c r="E394" s="519">
        <f t="shared" si="23"/>
        <v>3789.1052631578946</v>
      </c>
      <c r="F394" s="477">
        <f t="shared" si="18"/>
        <v>52415.9561403509</v>
      </c>
      <c r="G394" s="954">
        <f t="shared" si="20"/>
        <v>9822.3902093392371</v>
      </c>
      <c r="H394" s="957">
        <f t="shared" si="21"/>
        <v>9822.3902093392371</v>
      </c>
      <c r="I394" s="516">
        <f t="shared" si="22"/>
        <v>0</v>
      </c>
      <c r="J394" s="516"/>
      <c r="K394" s="652"/>
      <c r="L394" s="522"/>
      <c r="M394" s="652"/>
      <c r="N394" s="522"/>
      <c r="O394" s="522"/>
    </row>
    <row r="395" spans="3:15">
      <c r="C395" s="512">
        <f>IF(D364="","-",+C394+1)</f>
        <v>2041</v>
      </c>
      <c r="D395" s="477">
        <f t="shared" si="19"/>
        <v>52415.9561403509</v>
      </c>
      <c r="E395" s="519">
        <f t="shared" si="23"/>
        <v>3789.1052631578946</v>
      </c>
      <c r="F395" s="477">
        <f t="shared" si="18"/>
        <v>48626.850877193006</v>
      </c>
      <c r="G395" s="954">
        <f t="shared" si="20"/>
        <v>9401.4633526289126</v>
      </c>
      <c r="H395" s="957">
        <f t="shared" si="21"/>
        <v>9401.4633526289126</v>
      </c>
      <c r="I395" s="516">
        <f t="shared" si="22"/>
        <v>0</v>
      </c>
      <c r="J395" s="516"/>
      <c r="K395" s="652"/>
      <c r="L395" s="522"/>
      <c r="M395" s="652"/>
      <c r="N395" s="522"/>
      <c r="O395" s="522"/>
    </row>
    <row r="396" spans="3:15">
      <c r="C396" s="512">
        <f>IF(D364="","-",+C395+1)</f>
        <v>2042</v>
      </c>
      <c r="D396" s="477">
        <f t="shared" si="19"/>
        <v>48626.850877193006</v>
      </c>
      <c r="E396" s="519">
        <f t="shared" si="23"/>
        <v>3789.1052631578946</v>
      </c>
      <c r="F396" s="477">
        <f t="shared" si="18"/>
        <v>44837.745614035113</v>
      </c>
      <c r="G396" s="954">
        <f t="shared" si="20"/>
        <v>8980.5364959185863</v>
      </c>
      <c r="H396" s="957">
        <f t="shared" si="21"/>
        <v>8980.5364959185863</v>
      </c>
      <c r="I396" s="516">
        <f t="shared" si="22"/>
        <v>0</v>
      </c>
      <c r="J396" s="516"/>
      <c r="K396" s="652"/>
      <c r="L396" s="522"/>
      <c r="M396" s="652"/>
      <c r="N396" s="522"/>
      <c r="O396" s="522"/>
    </row>
    <row r="397" spans="3:15">
      <c r="C397" s="512">
        <f>IF(D364="","-",+C396+1)</f>
        <v>2043</v>
      </c>
      <c r="D397" s="477">
        <f t="shared" si="19"/>
        <v>44837.745614035113</v>
      </c>
      <c r="E397" s="519">
        <f t="shared" si="23"/>
        <v>3789.1052631578946</v>
      </c>
      <c r="F397" s="477">
        <f t="shared" si="18"/>
        <v>41048.64035087722</v>
      </c>
      <c r="G397" s="954">
        <f t="shared" si="20"/>
        <v>8559.60963920826</v>
      </c>
      <c r="H397" s="957">
        <f t="shared" si="21"/>
        <v>8559.60963920826</v>
      </c>
      <c r="I397" s="516">
        <f t="shared" si="22"/>
        <v>0</v>
      </c>
      <c r="J397" s="516"/>
      <c r="K397" s="652"/>
      <c r="L397" s="522"/>
      <c r="M397" s="652"/>
      <c r="N397" s="522"/>
      <c r="O397" s="522"/>
    </row>
    <row r="398" spans="3:15">
      <c r="C398" s="512">
        <f>IF(D364="","-",+C397+1)</f>
        <v>2044</v>
      </c>
      <c r="D398" s="477">
        <f t="shared" si="19"/>
        <v>41048.64035087722</v>
      </c>
      <c r="E398" s="519">
        <f t="shared" si="23"/>
        <v>3789.1052631578946</v>
      </c>
      <c r="F398" s="477">
        <f t="shared" si="18"/>
        <v>37259.535087719327</v>
      </c>
      <c r="G398" s="965">
        <f t="shared" si="20"/>
        <v>8138.6827824979337</v>
      </c>
      <c r="H398" s="957">
        <f t="shared" si="21"/>
        <v>8138.6827824979337</v>
      </c>
      <c r="I398" s="516">
        <f t="shared" si="22"/>
        <v>0</v>
      </c>
      <c r="J398" s="516"/>
      <c r="K398" s="652"/>
      <c r="L398" s="522"/>
      <c r="M398" s="652"/>
      <c r="N398" s="522"/>
      <c r="O398" s="522"/>
    </row>
    <row r="399" spans="3:15">
      <c r="C399" s="512">
        <f>IF(D364="","-",+C398+1)</f>
        <v>2045</v>
      </c>
      <c r="D399" s="477">
        <f t="shared" si="19"/>
        <v>37259.535087719327</v>
      </c>
      <c r="E399" s="519">
        <f t="shared" si="23"/>
        <v>3789.1052631578946</v>
      </c>
      <c r="F399" s="477">
        <f t="shared" si="18"/>
        <v>33470.429824561434</v>
      </c>
      <c r="G399" s="954">
        <f t="shared" si="20"/>
        <v>7717.7559257876082</v>
      </c>
      <c r="H399" s="957">
        <f t="shared" si="21"/>
        <v>7717.7559257876082</v>
      </c>
      <c r="I399" s="516">
        <f t="shared" si="22"/>
        <v>0</v>
      </c>
      <c r="J399" s="516"/>
      <c r="K399" s="652"/>
      <c r="L399" s="522"/>
      <c r="M399" s="652"/>
      <c r="N399" s="522"/>
      <c r="O399" s="522"/>
    </row>
    <row r="400" spans="3:15">
      <c r="C400" s="512">
        <f>IF(D364="","-",+C399+1)</f>
        <v>2046</v>
      </c>
      <c r="D400" s="477">
        <f t="shared" si="19"/>
        <v>33470.429824561434</v>
      </c>
      <c r="E400" s="519">
        <f t="shared" si="23"/>
        <v>3789.1052631578946</v>
      </c>
      <c r="F400" s="477">
        <f t="shared" si="18"/>
        <v>29681.32456140354</v>
      </c>
      <c r="G400" s="954">
        <f t="shared" si="20"/>
        <v>7296.8290690772828</v>
      </c>
      <c r="H400" s="957">
        <f t="shared" si="21"/>
        <v>7296.8290690772828</v>
      </c>
      <c r="I400" s="516">
        <f t="shared" si="22"/>
        <v>0</v>
      </c>
      <c r="J400" s="516"/>
      <c r="K400" s="652"/>
      <c r="L400" s="522"/>
      <c r="M400" s="652"/>
      <c r="N400" s="522"/>
      <c r="O400" s="522"/>
    </row>
    <row r="401" spans="3:15">
      <c r="C401" s="512">
        <f>IF(D364="","-",+C400+1)</f>
        <v>2047</v>
      </c>
      <c r="D401" s="477">
        <f t="shared" si="19"/>
        <v>29681.32456140354</v>
      </c>
      <c r="E401" s="519">
        <f t="shared" si="23"/>
        <v>3789.1052631578946</v>
      </c>
      <c r="F401" s="477">
        <f t="shared" si="18"/>
        <v>25892.219298245647</v>
      </c>
      <c r="G401" s="954">
        <f t="shared" si="20"/>
        <v>6875.9022123669565</v>
      </c>
      <c r="H401" s="957">
        <f t="shared" si="21"/>
        <v>6875.9022123669565</v>
      </c>
      <c r="I401" s="516">
        <f t="shared" si="22"/>
        <v>0</v>
      </c>
      <c r="J401" s="516"/>
      <c r="K401" s="652"/>
      <c r="L401" s="522"/>
      <c r="M401" s="652"/>
      <c r="N401" s="522"/>
      <c r="O401" s="522"/>
    </row>
    <row r="402" spans="3:15">
      <c r="C402" s="512">
        <f>IF(D364="","-",+C401+1)</f>
        <v>2048</v>
      </c>
      <c r="D402" s="477">
        <f t="shared" si="19"/>
        <v>25892.219298245647</v>
      </c>
      <c r="E402" s="519">
        <f t="shared" si="23"/>
        <v>3789.1052631578946</v>
      </c>
      <c r="F402" s="477">
        <f t="shared" si="18"/>
        <v>22103.114035087754</v>
      </c>
      <c r="G402" s="954">
        <f t="shared" si="20"/>
        <v>6454.9753556566302</v>
      </c>
      <c r="H402" s="957">
        <f t="shared" si="21"/>
        <v>6454.9753556566302</v>
      </c>
      <c r="I402" s="516">
        <f t="shared" si="22"/>
        <v>0</v>
      </c>
      <c r="J402" s="516"/>
      <c r="K402" s="652"/>
      <c r="L402" s="522"/>
      <c r="M402" s="652"/>
      <c r="N402" s="522"/>
      <c r="O402" s="522"/>
    </row>
    <row r="403" spans="3:15">
      <c r="C403" s="512">
        <f>IF(D364="","-",+C402+1)</f>
        <v>2049</v>
      </c>
      <c r="D403" s="477">
        <f t="shared" si="19"/>
        <v>22103.114035087754</v>
      </c>
      <c r="E403" s="519">
        <f t="shared" si="23"/>
        <v>3789.1052631578946</v>
      </c>
      <c r="F403" s="477">
        <f t="shared" si="18"/>
        <v>18314.008771929861</v>
      </c>
      <c r="G403" s="954">
        <f t="shared" si="20"/>
        <v>6034.0484989463039</v>
      </c>
      <c r="H403" s="957">
        <f t="shared" si="21"/>
        <v>6034.0484989463039</v>
      </c>
      <c r="I403" s="516">
        <f t="shared" si="22"/>
        <v>0</v>
      </c>
      <c r="J403" s="516"/>
      <c r="K403" s="652"/>
      <c r="L403" s="522"/>
      <c r="M403" s="652"/>
      <c r="N403" s="522"/>
      <c r="O403" s="522"/>
    </row>
    <row r="404" spans="3:15">
      <c r="C404" s="512">
        <f>IF(D364="","-",+C403+1)</f>
        <v>2050</v>
      </c>
      <c r="D404" s="477">
        <f t="shared" si="19"/>
        <v>18314.008771929861</v>
      </c>
      <c r="E404" s="519">
        <f t="shared" si="23"/>
        <v>3789.1052631578946</v>
      </c>
      <c r="F404" s="477">
        <f t="shared" si="18"/>
        <v>14524.903508771966</v>
      </c>
      <c r="G404" s="954">
        <f t="shared" si="20"/>
        <v>5613.1216422359785</v>
      </c>
      <c r="H404" s="957">
        <f t="shared" si="21"/>
        <v>5613.1216422359785</v>
      </c>
      <c r="I404" s="516">
        <f t="shared" si="22"/>
        <v>0</v>
      </c>
      <c r="J404" s="516"/>
      <c r="K404" s="652"/>
      <c r="L404" s="522"/>
      <c r="M404" s="652"/>
      <c r="N404" s="522"/>
      <c r="O404" s="522"/>
    </row>
    <row r="405" spans="3:15">
      <c r="C405" s="512">
        <f>IF(D364="","-",+C404+1)</f>
        <v>2051</v>
      </c>
      <c r="D405" s="477">
        <f t="shared" si="19"/>
        <v>14524.903508771966</v>
      </c>
      <c r="E405" s="519">
        <f t="shared" si="23"/>
        <v>3789.1052631578946</v>
      </c>
      <c r="F405" s="477">
        <f t="shared" si="18"/>
        <v>10735.798245614071</v>
      </c>
      <c r="G405" s="954">
        <f t="shared" si="20"/>
        <v>5192.1947855256522</v>
      </c>
      <c r="H405" s="957">
        <f t="shared" si="21"/>
        <v>5192.1947855256522</v>
      </c>
      <c r="I405" s="516">
        <f t="shared" si="22"/>
        <v>0</v>
      </c>
      <c r="J405" s="516"/>
      <c r="K405" s="652"/>
      <c r="L405" s="522"/>
      <c r="M405" s="652"/>
      <c r="N405" s="522"/>
      <c r="O405" s="522"/>
    </row>
    <row r="406" spans="3:15">
      <c r="C406" s="512">
        <f>IF(D364="","-",+C405+1)</f>
        <v>2052</v>
      </c>
      <c r="D406" s="477">
        <f t="shared" si="19"/>
        <v>10735.798245614071</v>
      </c>
      <c r="E406" s="519">
        <f t="shared" si="23"/>
        <v>3789.1052631578946</v>
      </c>
      <c r="F406" s="477">
        <f t="shared" si="18"/>
        <v>6946.6929824561757</v>
      </c>
      <c r="G406" s="954">
        <f t="shared" si="20"/>
        <v>4771.2679288153258</v>
      </c>
      <c r="H406" s="957">
        <f t="shared" si="21"/>
        <v>4771.2679288153258</v>
      </c>
      <c r="I406" s="516">
        <f t="shared" si="22"/>
        <v>0</v>
      </c>
      <c r="J406" s="516"/>
      <c r="K406" s="652"/>
      <c r="L406" s="522"/>
      <c r="M406" s="652"/>
      <c r="N406" s="522"/>
      <c r="O406" s="522"/>
    </row>
    <row r="407" spans="3:15">
      <c r="C407" s="512">
        <f>IF(D364="","-",+C406+1)</f>
        <v>2053</v>
      </c>
      <c r="D407" s="477">
        <f t="shared" si="19"/>
        <v>6946.6929824561757</v>
      </c>
      <c r="E407" s="519">
        <f t="shared" si="23"/>
        <v>3789.1052631578946</v>
      </c>
      <c r="F407" s="477">
        <f t="shared" si="18"/>
        <v>3157.5877192982812</v>
      </c>
      <c r="G407" s="954">
        <f t="shared" si="20"/>
        <v>4350.3410721050004</v>
      </c>
      <c r="H407" s="957">
        <f t="shared" si="21"/>
        <v>4350.3410721050004</v>
      </c>
      <c r="I407" s="516">
        <f t="shared" si="22"/>
        <v>0</v>
      </c>
      <c r="J407" s="516"/>
      <c r="K407" s="652"/>
      <c r="L407" s="522"/>
      <c r="M407" s="652"/>
      <c r="N407" s="522"/>
      <c r="O407" s="522"/>
    </row>
    <row r="408" spans="3:15">
      <c r="C408" s="512">
        <f>IF(D364="","-",+C407+1)</f>
        <v>2054</v>
      </c>
      <c r="D408" s="477">
        <f t="shared" si="19"/>
        <v>3157.5877192982812</v>
      </c>
      <c r="E408" s="519">
        <f t="shared" si="23"/>
        <v>3157.5877192982812</v>
      </c>
      <c r="F408" s="477">
        <f t="shared" si="18"/>
        <v>0</v>
      </c>
      <c r="G408" s="954">
        <f t="shared" si="20"/>
        <v>3332.9739095942523</v>
      </c>
      <c r="H408" s="957">
        <f t="shared" si="21"/>
        <v>3332.9739095942523</v>
      </c>
      <c r="I408" s="516">
        <f t="shared" si="22"/>
        <v>0</v>
      </c>
      <c r="J408" s="516"/>
      <c r="K408" s="652"/>
      <c r="L408" s="522"/>
      <c r="M408" s="652"/>
      <c r="N408" s="522"/>
      <c r="O408" s="522"/>
    </row>
    <row r="409" spans="3:15">
      <c r="C409" s="512">
        <f>IF(D364="","-",+C408+1)</f>
        <v>2055</v>
      </c>
      <c r="D409" s="477">
        <f t="shared" si="19"/>
        <v>0</v>
      </c>
      <c r="E409" s="519">
        <f t="shared" si="23"/>
        <v>0</v>
      </c>
      <c r="F409" s="477">
        <f t="shared" si="18"/>
        <v>0</v>
      </c>
      <c r="G409" s="954">
        <f t="shared" si="20"/>
        <v>0</v>
      </c>
      <c r="H409" s="957">
        <f t="shared" si="21"/>
        <v>0</v>
      </c>
      <c r="I409" s="516">
        <f t="shared" si="22"/>
        <v>0</v>
      </c>
      <c r="J409" s="516"/>
      <c r="K409" s="652"/>
      <c r="L409" s="522"/>
      <c r="M409" s="652"/>
      <c r="N409" s="522"/>
      <c r="O409" s="522"/>
    </row>
    <row r="410" spans="3:15">
      <c r="C410" s="512">
        <f>IF(D364="","-",+C409+1)</f>
        <v>2056</v>
      </c>
      <c r="D410" s="477">
        <f t="shared" si="19"/>
        <v>0</v>
      </c>
      <c r="E410" s="519">
        <f t="shared" si="23"/>
        <v>0</v>
      </c>
      <c r="F410" s="477">
        <f t="shared" si="18"/>
        <v>0</v>
      </c>
      <c r="G410" s="954">
        <f t="shared" si="20"/>
        <v>0</v>
      </c>
      <c r="H410" s="957">
        <f t="shared" si="21"/>
        <v>0</v>
      </c>
      <c r="I410" s="516">
        <f t="shared" si="22"/>
        <v>0</v>
      </c>
      <c r="J410" s="516"/>
      <c r="K410" s="652"/>
      <c r="L410" s="522"/>
      <c r="M410" s="652"/>
      <c r="N410" s="522"/>
      <c r="O410" s="522"/>
    </row>
    <row r="411" spans="3:15">
      <c r="C411" s="512">
        <f>IF(D364="","-",+C410+1)</f>
        <v>2057</v>
      </c>
      <c r="D411" s="477">
        <f t="shared" si="19"/>
        <v>0</v>
      </c>
      <c r="E411" s="519">
        <f t="shared" si="23"/>
        <v>0</v>
      </c>
      <c r="F411" s="477">
        <f t="shared" si="18"/>
        <v>0</v>
      </c>
      <c r="G411" s="954">
        <f t="shared" si="20"/>
        <v>0</v>
      </c>
      <c r="H411" s="957">
        <f t="shared" si="21"/>
        <v>0</v>
      </c>
      <c r="I411" s="516">
        <f t="shared" si="22"/>
        <v>0</v>
      </c>
      <c r="J411" s="516"/>
      <c r="K411" s="652"/>
      <c r="L411" s="522"/>
      <c r="M411" s="652"/>
      <c r="N411" s="522"/>
      <c r="O411" s="522"/>
    </row>
    <row r="412" spans="3:15">
      <c r="C412" s="512">
        <f>IF(D364="","-",+C411+1)</f>
        <v>2058</v>
      </c>
      <c r="D412" s="477">
        <f t="shared" si="19"/>
        <v>0</v>
      </c>
      <c r="E412" s="519">
        <f t="shared" si="23"/>
        <v>0</v>
      </c>
      <c r="F412" s="477">
        <f t="shared" si="18"/>
        <v>0</v>
      </c>
      <c r="G412" s="954">
        <f t="shared" si="20"/>
        <v>0</v>
      </c>
      <c r="H412" s="957">
        <f t="shared" si="21"/>
        <v>0</v>
      </c>
      <c r="I412" s="516">
        <f t="shared" si="22"/>
        <v>0</v>
      </c>
      <c r="J412" s="516"/>
      <c r="K412" s="652"/>
      <c r="L412" s="522"/>
      <c r="M412" s="652"/>
      <c r="N412" s="522"/>
      <c r="O412" s="522"/>
    </row>
    <row r="413" spans="3:15">
      <c r="C413" s="512">
        <f>IF(D364="","-",+C412+1)</f>
        <v>2059</v>
      </c>
      <c r="D413" s="477">
        <f t="shared" si="19"/>
        <v>0</v>
      </c>
      <c r="E413" s="519">
        <f t="shared" si="23"/>
        <v>0</v>
      </c>
      <c r="F413" s="477">
        <f t="shared" si="18"/>
        <v>0</v>
      </c>
      <c r="G413" s="954">
        <f t="shared" si="20"/>
        <v>0</v>
      </c>
      <c r="H413" s="957">
        <f t="shared" si="21"/>
        <v>0</v>
      </c>
      <c r="I413" s="516">
        <f t="shared" si="22"/>
        <v>0</v>
      </c>
      <c r="J413" s="516"/>
      <c r="K413" s="652"/>
      <c r="L413" s="522"/>
      <c r="M413" s="652"/>
      <c r="N413" s="522"/>
      <c r="O413" s="522"/>
    </row>
    <row r="414" spans="3:15">
      <c r="C414" s="512">
        <f>IF(D364="","-",+C413+1)</f>
        <v>2060</v>
      </c>
      <c r="D414" s="477">
        <f t="shared" si="19"/>
        <v>0</v>
      </c>
      <c r="E414" s="519">
        <f t="shared" si="23"/>
        <v>0</v>
      </c>
      <c r="F414" s="477">
        <f t="shared" si="18"/>
        <v>0</v>
      </c>
      <c r="G414" s="954">
        <f t="shared" si="20"/>
        <v>0</v>
      </c>
      <c r="H414" s="957">
        <f t="shared" si="21"/>
        <v>0</v>
      </c>
      <c r="I414" s="516">
        <f t="shared" si="22"/>
        <v>0</v>
      </c>
      <c r="J414" s="516"/>
      <c r="K414" s="652"/>
      <c r="L414" s="522"/>
      <c r="M414" s="652"/>
      <c r="N414" s="522"/>
      <c r="O414" s="522"/>
    </row>
    <row r="415" spans="3:15">
      <c r="C415" s="512">
        <f>IF(D364="","-",+C414+1)</f>
        <v>2061</v>
      </c>
      <c r="D415" s="477">
        <f t="shared" si="19"/>
        <v>0</v>
      </c>
      <c r="E415" s="519">
        <f t="shared" si="23"/>
        <v>0</v>
      </c>
      <c r="F415" s="477">
        <f t="shared" si="18"/>
        <v>0</v>
      </c>
      <c r="G415" s="954">
        <f t="shared" si="20"/>
        <v>0</v>
      </c>
      <c r="H415" s="957">
        <f t="shared" si="21"/>
        <v>0</v>
      </c>
      <c r="I415" s="516">
        <f t="shared" si="22"/>
        <v>0</v>
      </c>
      <c r="J415" s="516"/>
      <c r="K415" s="652"/>
      <c r="L415" s="522"/>
      <c r="M415" s="652"/>
      <c r="N415" s="522"/>
      <c r="O415" s="522"/>
    </row>
    <row r="416" spans="3:15">
      <c r="C416" s="512">
        <f>IF(D364="","-",+C415+1)</f>
        <v>2062</v>
      </c>
      <c r="D416" s="477">
        <f t="shared" si="19"/>
        <v>0</v>
      </c>
      <c r="E416" s="519">
        <f t="shared" si="23"/>
        <v>0</v>
      </c>
      <c r="F416" s="477">
        <f t="shared" si="18"/>
        <v>0</v>
      </c>
      <c r="G416" s="954">
        <f t="shared" si="20"/>
        <v>0</v>
      </c>
      <c r="H416" s="957">
        <f t="shared" si="21"/>
        <v>0</v>
      </c>
      <c r="I416" s="516">
        <f t="shared" si="22"/>
        <v>0</v>
      </c>
      <c r="J416" s="516"/>
      <c r="K416" s="652"/>
      <c r="L416" s="522"/>
      <c r="M416" s="652"/>
      <c r="N416" s="522"/>
      <c r="O416" s="522"/>
    </row>
    <row r="417" spans="3:15">
      <c r="C417" s="512">
        <f>IF(D364="","-",+C416+1)</f>
        <v>2063</v>
      </c>
      <c r="D417" s="477">
        <f t="shared" si="19"/>
        <v>0</v>
      </c>
      <c r="E417" s="519">
        <f t="shared" si="23"/>
        <v>0</v>
      </c>
      <c r="F417" s="477">
        <f t="shared" si="18"/>
        <v>0</v>
      </c>
      <c r="G417" s="954">
        <f t="shared" si="20"/>
        <v>0</v>
      </c>
      <c r="H417" s="957">
        <f t="shared" si="21"/>
        <v>0</v>
      </c>
      <c r="I417" s="516">
        <f t="shared" si="22"/>
        <v>0</v>
      </c>
      <c r="J417" s="516"/>
      <c r="K417" s="652"/>
      <c r="L417" s="522"/>
      <c r="M417" s="652"/>
      <c r="N417" s="522"/>
      <c r="O417" s="522"/>
    </row>
    <row r="418" spans="3:15">
      <c r="C418" s="512">
        <f>IF(D364="","-",+C417+1)</f>
        <v>2064</v>
      </c>
      <c r="D418" s="477">
        <f t="shared" si="19"/>
        <v>0</v>
      </c>
      <c r="E418" s="519">
        <f t="shared" si="23"/>
        <v>0</v>
      </c>
      <c r="F418" s="477">
        <f t="shared" si="18"/>
        <v>0</v>
      </c>
      <c r="G418" s="954">
        <f t="shared" si="20"/>
        <v>0</v>
      </c>
      <c r="H418" s="957">
        <f t="shared" si="21"/>
        <v>0</v>
      </c>
      <c r="I418" s="516">
        <f t="shared" si="22"/>
        <v>0</v>
      </c>
      <c r="J418" s="516"/>
      <c r="K418" s="652"/>
      <c r="L418" s="522"/>
      <c r="M418" s="652"/>
      <c r="N418" s="522"/>
      <c r="O418" s="522"/>
    </row>
    <row r="419" spans="3:15">
      <c r="C419" s="512">
        <f>IF(D364="","-",+C418+1)</f>
        <v>2065</v>
      </c>
      <c r="D419" s="477">
        <f t="shared" si="19"/>
        <v>0</v>
      </c>
      <c r="E419" s="519">
        <f t="shared" si="23"/>
        <v>0</v>
      </c>
      <c r="F419" s="477">
        <f t="shared" si="18"/>
        <v>0</v>
      </c>
      <c r="G419" s="954">
        <f t="shared" si="20"/>
        <v>0</v>
      </c>
      <c r="H419" s="957">
        <f t="shared" si="21"/>
        <v>0</v>
      </c>
      <c r="I419" s="516">
        <f t="shared" si="22"/>
        <v>0</v>
      </c>
      <c r="J419" s="516"/>
      <c r="K419" s="652"/>
      <c r="L419" s="522"/>
      <c r="M419" s="652"/>
      <c r="N419" s="522"/>
      <c r="O419" s="522"/>
    </row>
    <row r="420" spans="3:15">
      <c r="C420" s="512">
        <f>IF(D364="","-",+C419+1)</f>
        <v>2066</v>
      </c>
      <c r="D420" s="477">
        <f t="shared" si="19"/>
        <v>0</v>
      </c>
      <c r="E420" s="519">
        <f t="shared" si="23"/>
        <v>0</v>
      </c>
      <c r="F420" s="477">
        <f t="shared" si="18"/>
        <v>0</v>
      </c>
      <c r="G420" s="954">
        <f t="shared" si="20"/>
        <v>0</v>
      </c>
      <c r="H420" s="957">
        <f t="shared" si="21"/>
        <v>0</v>
      </c>
      <c r="I420" s="516">
        <f t="shared" si="22"/>
        <v>0</v>
      </c>
      <c r="J420" s="516"/>
      <c r="K420" s="652"/>
      <c r="L420" s="522"/>
      <c r="M420" s="652"/>
      <c r="N420" s="522"/>
      <c r="O420" s="522"/>
    </row>
    <row r="421" spans="3:15">
      <c r="C421" s="512">
        <f>IF(D364="","-",+C420+1)</f>
        <v>2067</v>
      </c>
      <c r="D421" s="477">
        <f t="shared" si="19"/>
        <v>0</v>
      </c>
      <c r="E421" s="519">
        <f t="shared" si="23"/>
        <v>0</v>
      </c>
      <c r="F421" s="477">
        <f t="shared" si="18"/>
        <v>0</v>
      </c>
      <c r="G421" s="954">
        <f t="shared" si="20"/>
        <v>0</v>
      </c>
      <c r="H421" s="957">
        <f t="shared" si="21"/>
        <v>0</v>
      </c>
      <c r="I421" s="516">
        <f t="shared" si="22"/>
        <v>0</v>
      </c>
      <c r="J421" s="516"/>
      <c r="K421" s="652"/>
      <c r="L421" s="522"/>
      <c r="M421" s="652"/>
      <c r="N421" s="522"/>
      <c r="O421" s="522"/>
    </row>
    <row r="422" spans="3:15">
      <c r="C422" s="512">
        <f>IF(D364="","-",+C421+1)</f>
        <v>2068</v>
      </c>
      <c r="D422" s="477">
        <f t="shared" si="19"/>
        <v>0</v>
      </c>
      <c r="E422" s="519">
        <f t="shared" si="23"/>
        <v>0</v>
      </c>
      <c r="F422" s="477">
        <f t="shared" si="18"/>
        <v>0</v>
      </c>
      <c r="G422" s="954">
        <f t="shared" si="20"/>
        <v>0</v>
      </c>
      <c r="H422" s="957">
        <f t="shared" si="21"/>
        <v>0</v>
      </c>
      <c r="I422" s="516">
        <f t="shared" si="22"/>
        <v>0</v>
      </c>
      <c r="J422" s="516"/>
      <c r="K422" s="652"/>
      <c r="L422" s="522"/>
      <c r="M422" s="652"/>
      <c r="N422" s="522"/>
      <c r="O422" s="522"/>
    </row>
    <row r="423" spans="3:15">
      <c r="C423" s="512">
        <f>IF(D364="","-",+C422+1)</f>
        <v>2069</v>
      </c>
      <c r="D423" s="477">
        <f t="shared" si="19"/>
        <v>0</v>
      </c>
      <c r="E423" s="519">
        <f t="shared" si="23"/>
        <v>0</v>
      </c>
      <c r="F423" s="477">
        <f t="shared" si="18"/>
        <v>0</v>
      </c>
      <c r="G423" s="954">
        <f t="shared" si="20"/>
        <v>0</v>
      </c>
      <c r="H423" s="957">
        <f t="shared" si="21"/>
        <v>0</v>
      </c>
      <c r="I423" s="516">
        <f t="shared" si="22"/>
        <v>0</v>
      </c>
      <c r="J423" s="516"/>
      <c r="K423" s="652"/>
      <c r="L423" s="522"/>
      <c r="M423" s="652"/>
      <c r="N423" s="522"/>
      <c r="O423" s="522"/>
    </row>
    <row r="424" spans="3:15">
      <c r="C424" s="512">
        <f>IF(D364="","-",+C423+1)</f>
        <v>2070</v>
      </c>
      <c r="D424" s="477">
        <f t="shared" si="19"/>
        <v>0</v>
      </c>
      <c r="E424" s="519">
        <f t="shared" si="23"/>
        <v>0</v>
      </c>
      <c r="F424" s="477">
        <f t="shared" si="18"/>
        <v>0</v>
      </c>
      <c r="G424" s="954">
        <f t="shared" si="20"/>
        <v>0</v>
      </c>
      <c r="H424" s="957">
        <f t="shared" si="21"/>
        <v>0</v>
      </c>
      <c r="I424" s="516">
        <f t="shared" si="22"/>
        <v>0</v>
      </c>
      <c r="J424" s="516"/>
      <c r="K424" s="652"/>
      <c r="L424" s="522"/>
      <c r="M424" s="652"/>
      <c r="N424" s="522"/>
      <c r="O424" s="522"/>
    </row>
    <row r="425" spans="3:15">
      <c r="C425" s="512">
        <f>IF(D364="","-",+C424+1)</f>
        <v>2071</v>
      </c>
      <c r="D425" s="477">
        <f t="shared" si="19"/>
        <v>0</v>
      </c>
      <c r="E425" s="519">
        <f t="shared" si="23"/>
        <v>0</v>
      </c>
      <c r="F425" s="477">
        <f t="shared" si="18"/>
        <v>0</v>
      </c>
      <c r="G425" s="954">
        <f t="shared" si="20"/>
        <v>0</v>
      </c>
      <c r="H425" s="957">
        <f t="shared" si="21"/>
        <v>0</v>
      </c>
      <c r="I425" s="516">
        <f t="shared" si="22"/>
        <v>0</v>
      </c>
      <c r="J425" s="516"/>
      <c r="K425" s="652"/>
      <c r="L425" s="522"/>
      <c r="M425" s="652"/>
      <c r="N425" s="522"/>
      <c r="O425" s="522"/>
    </row>
    <row r="426" spans="3:15">
      <c r="C426" s="512">
        <f>IF(D364="","-",+C425+1)</f>
        <v>2072</v>
      </c>
      <c r="D426" s="477">
        <f t="shared" si="19"/>
        <v>0</v>
      </c>
      <c r="E426" s="519">
        <f t="shared" si="23"/>
        <v>0</v>
      </c>
      <c r="F426" s="477">
        <f t="shared" si="18"/>
        <v>0</v>
      </c>
      <c r="G426" s="954">
        <f t="shared" si="20"/>
        <v>0</v>
      </c>
      <c r="H426" s="957">
        <f t="shared" si="21"/>
        <v>0</v>
      </c>
      <c r="I426" s="516">
        <f t="shared" si="22"/>
        <v>0</v>
      </c>
      <c r="J426" s="516"/>
      <c r="K426" s="652"/>
      <c r="L426" s="522"/>
      <c r="M426" s="652"/>
      <c r="N426" s="522"/>
      <c r="O426" s="522"/>
    </row>
    <row r="427" spans="3:15">
      <c r="C427" s="512">
        <f>IF(D364="","-",+C426+1)</f>
        <v>2073</v>
      </c>
      <c r="D427" s="477">
        <f t="shared" si="19"/>
        <v>0</v>
      </c>
      <c r="E427" s="519">
        <f t="shared" si="23"/>
        <v>0</v>
      </c>
      <c r="F427" s="477">
        <f t="shared" si="18"/>
        <v>0</v>
      </c>
      <c r="G427" s="954">
        <f t="shared" si="20"/>
        <v>0</v>
      </c>
      <c r="H427" s="957">
        <f t="shared" si="21"/>
        <v>0</v>
      </c>
      <c r="I427" s="516">
        <f t="shared" si="22"/>
        <v>0</v>
      </c>
      <c r="J427" s="516"/>
      <c r="K427" s="652"/>
      <c r="L427" s="522"/>
      <c r="M427" s="652"/>
      <c r="N427" s="522"/>
      <c r="O427" s="522"/>
    </row>
    <row r="428" spans="3:15">
      <c r="C428" s="512">
        <f>IF(D364="","-",+C427+1)</f>
        <v>2074</v>
      </c>
      <c r="D428" s="477">
        <f t="shared" si="19"/>
        <v>0</v>
      </c>
      <c r="E428" s="519">
        <f t="shared" si="23"/>
        <v>0</v>
      </c>
      <c r="F428" s="477">
        <f t="shared" si="18"/>
        <v>0</v>
      </c>
      <c r="G428" s="954">
        <f t="shared" si="20"/>
        <v>0</v>
      </c>
      <c r="H428" s="957">
        <f t="shared" si="21"/>
        <v>0</v>
      </c>
      <c r="I428" s="516">
        <f t="shared" si="22"/>
        <v>0</v>
      </c>
      <c r="J428" s="516"/>
      <c r="K428" s="652"/>
      <c r="L428" s="522"/>
      <c r="M428" s="652"/>
      <c r="N428" s="522"/>
      <c r="O428" s="522"/>
    </row>
    <row r="429" spans="3:15" ht="13.5" thickBot="1">
      <c r="C429" s="523">
        <f>IF(D364="","-",+C428+1)</f>
        <v>2075</v>
      </c>
      <c r="D429" s="524">
        <f t="shared" si="19"/>
        <v>0</v>
      </c>
      <c r="E429" s="525">
        <f t="shared" si="23"/>
        <v>0</v>
      </c>
      <c r="F429" s="524">
        <f t="shared" si="18"/>
        <v>0</v>
      </c>
      <c r="G429" s="966">
        <f t="shared" si="20"/>
        <v>0</v>
      </c>
      <c r="H429" s="966">
        <f t="shared" si="21"/>
        <v>0</v>
      </c>
      <c r="I429" s="527">
        <f t="shared" si="22"/>
        <v>0</v>
      </c>
      <c r="J429" s="516"/>
      <c r="K429" s="653"/>
      <c r="L429" s="529"/>
      <c r="M429" s="653"/>
      <c r="N429" s="529"/>
      <c r="O429" s="529"/>
    </row>
    <row r="430" spans="3:15">
      <c r="C430" s="477" t="s">
        <v>289</v>
      </c>
      <c r="D430" s="936"/>
      <c r="E430" s="936">
        <f>SUM(E370:E429)</f>
        <v>143986</v>
      </c>
      <c r="F430" s="936"/>
      <c r="G430" s="936">
        <f>SUM(G370:G429)</f>
        <v>461224.54100734909</v>
      </c>
      <c r="H430" s="936">
        <f>SUM(H370:H429)</f>
        <v>461224.54100734909</v>
      </c>
      <c r="I430" s="936">
        <f>SUM(I370:I429)</f>
        <v>0</v>
      </c>
      <c r="J430" s="936"/>
      <c r="K430" s="936"/>
      <c r="L430" s="936"/>
      <c r="M430" s="936"/>
      <c r="N430" s="936"/>
      <c r="O430" s="4"/>
    </row>
    <row r="431" spans="3:15">
      <c r="D431" s="82"/>
      <c r="E431" s="4"/>
      <c r="F431" s="4"/>
      <c r="G431" s="4"/>
      <c r="H431" s="935"/>
      <c r="I431" s="935"/>
      <c r="J431" s="936"/>
      <c r="K431" s="935"/>
      <c r="L431" s="935"/>
      <c r="M431" s="935"/>
      <c r="N431" s="935"/>
      <c r="O431" s="4"/>
    </row>
    <row r="432" spans="3:15">
      <c r="C432" s="561" t="s">
        <v>931</v>
      </c>
      <c r="D432" s="82"/>
      <c r="E432" s="4"/>
      <c r="F432" s="4"/>
      <c r="G432" s="4"/>
      <c r="H432" s="935"/>
      <c r="I432" s="935"/>
      <c r="J432" s="936"/>
      <c r="K432" s="935"/>
      <c r="L432" s="935"/>
      <c r="M432" s="935"/>
      <c r="N432" s="935"/>
      <c r="O432" s="4"/>
    </row>
    <row r="433" spans="1:16">
      <c r="D433" s="82"/>
      <c r="E433" s="4"/>
      <c r="F433" s="4"/>
      <c r="G433" s="4"/>
      <c r="H433" s="935"/>
      <c r="I433" s="935"/>
      <c r="J433" s="936"/>
      <c r="K433" s="935"/>
      <c r="L433" s="935"/>
      <c r="M433" s="935"/>
      <c r="N433" s="935"/>
      <c r="O433" s="4"/>
    </row>
    <row r="434" spans="1:16">
      <c r="C434" s="489" t="s">
        <v>932</v>
      </c>
      <c r="D434" s="477"/>
      <c r="E434" s="477"/>
      <c r="F434" s="477"/>
      <c r="G434" s="936"/>
      <c r="H434" s="936"/>
      <c r="I434" s="479"/>
      <c r="J434" s="479"/>
      <c r="K434" s="479"/>
      <c r="L434" s="479"/>
      <c r="M434" s="479"/>
      <c r="N434" s="479"/>
      <c r="O434" s="4"/>
    </row>
    <row r="435" spans="1:16">
      <c r="C435" s="478" t="s">
        <v>477</v>
      </c>
      <c r="D435" s="477"/>
      <c r="E435" s="477"/>
      <c r="F435" s="477"/>
      <c r="G435" s="936"/>
      <c r="H435" s="936"/>
      <c r="I435" s="479"/>
      <c r="J435" s="479"/>
      <c r="K435" s="479"/>
      <c r="L435" s="479"/>
      <c r="M435" s="479"/>
      <c r="N435" s="479"/>
      <c r="O435" s="4"/>
    </row>
    <row r="436" spans="1:16">
      <c r="C436" s="478" t="s">
        <v>290</v>
      </c>
      <c r="D436" s="477"/>
      <c r="E436" s="477"/>
      <c r="F436" s="477"/>
      <c r="G436" s="936"/>
      <c r="H436" s="936"/>
      <c r="I436" s="479"/>
      <c r="J436" s="479"/>
      <c r="K436" s="479"/>
      <c r="L436" s="479"/>
      <c r="M436" s="479"/>
      <c r="N436" s="479"/>
      <c r="O436" s="4"/>
    </row>
    <row r="437" spans="1:16">
      <c r="C437" s="478"/>
      <c r="D437" s="477"/>
      <c r="E437" s="477"/>
      <c r="F437" s="477"/>
      <c r="G437" s="936"/>
      <c r="H437" s="936"/>
      <c r="I437" s="479"/>
      <c r="J437" s="479"/>
      <c r="K437" s="479"/>
      <c r="L437" s="479"/>
      <c r="M437" s="479"/>
      <c r="N437" s="479"/>
      <c r="O437" s="4"/>
    </row>
    <row r="438" spans="1:16">
      <c r="C438" s="1273" t="s">
        <v>461</v>
      </c>
      <c r="D438" s="1273"/>
      <c r="E438" s="1273"/>
      <c r="F438" s="1273"/>
      <c r="G438" s="1273"/>
      <c r="H438" s="1273"/>
      <c r="I438" s="1273"/>
      <c r="J438" s="1273"/>
      <c r="K438" s="1273"/>
      <c r="L438" s="1273"/>
      <c r="M438" s="1273"/>
      <c r="N438" s="1273"/>
      <c r="O438" s="1273"/>
    </row>
    <row r="439" spans="1:16">
      <c r="C439" s="1273"/>
      <c r="D439" s="1273"/>
      <c r="E439" s="1273"/>
      <c r="F439" s="1273"/>
      <c r="G439" s="1273"/>
      <c r="H439" s="1273"/>
      <c r="I439" s="1273"/>
      <c r="J439" s="1273"/>
      <c r="K439" s="1273"/>
      <c r="L439" s="1273"/>
      <c r="M439" s="1273"/>
      <c r="N439" s="1273"/>
      <c r="O439" s="1273"/>
    </row>
    <row r="440" spans="1:16" ht="20.25">
      <c r="A440" s="419" t="s">
        <v>928</v>
      </c>
      <c r="B440" s="4"/>
      <c r="C440" s="4"/>
      <c r="D440" s="82"/>
      <c r="E440" s="4"/>
      <c r="F440" s="84"/>
      <c r="G440" s="4"/>
      <c r="H440" s="935"/>
      <c r="K440" s="11"/>
      <c r="L440" s="11"/>
      <c r="M440" s="11"/>
      <c r="N440" s="11" t="str">
        <f>"Page "&amp;P440&amp;" of "</f>
        <v xml:space="preserve">Page 6 of </v>
      </c>
      <c r="O440" s="420">
        <f>COUNT(P$6:P$59527)</f>
        <v>9</v>
      </c>
      <c r="P440" s="4">
        <v>6</v>
      </c>
    </row>
    <row r="441" spans="1:16">
      <c r="B441" s="4"/>
      <c r="C441" s="4"/>
      <c r="D441" s="82"/>
      <c r="E441" s="4"/>
      <c r="F441" s="4"/>
      <c r="G441" s="4"/>
      <c r="H441" s="935"/>
      <c r="I441" s="4"/>
      <c r="J441" s="4"/>
      <c r="K441" s="4"/>
      <c r="L441" s="4"/>
      <c r="M441" s="4"/>
      <c r="N441" s="4"/>
      <c r="O441" s="4"/>
    </row>
    <row r="442" spans="1:16" ht="18">
      <c r="B442" s="421" t="s">
        <v>175</v>
      </c>
      <c r="C442" s="480" t="s">
        <v>291</v>
      </c>
      <c r="D442" s="82"/>
      <c r="E442" s="4"/>
      <c r="F442" s="4"/>
      <c r="G442" s="4"/>
      <c r="H442" s="935"/>
      <c r="I442" s="935"/>
      <c r="J442" s="936"/>
      <c r="K442" s="935"/>
      <c r="L442" s="935"/>
      <c r="M442" s="935"/>
      <c r="N442" s="935"/>
      <c r="O442" s="4"/>
    </row>
    <row r="443" spans="1:16" ht="18.75">
      <c r="B443" s="421"/>
      <c r="C443" s="13"/>
      <c r="D443" s="82"/>
      <c r="E443" s="4"/>
      <c r="F443" s="4"/>
      <c r="G443" s="4"/>
      <c r="H443" s="935"/>
      <c r="I443" s="935"/>
      <c r="J443" s="936"/>
      <c r="K443" s="935"/>
      <c r="L443" s="935"/>
      <c r="M443" s="935"/>
      <c r="N443" s="935"/>
      <c r="O443" s="4"/>
    </row>
    <row r="444" spans="1:16" ht="18.75">
      <c r="B444" s="421"/>
      <c r="C444" s="13" t="s">
        <v>292</v>
      </c>
      <c r="D444" s="82"/>
      <c r="E444" s="4"/>
      <c r="F444" s="4"/>
      <c r="G444" s="4"/>
      <c r="H444" s="935"/>
      <c r="I444" s="935"/>
      <c r="J444" s="936"/>
      <c r="K444" s="935"/>
      <c r="L444" s="935"/>
      <c r="M444" s="935"/>
      <c r="N444" s="935"/>
      <c r="O444" s="4"/>
    </row>
    <row r="445" spans="1:16" ht="15.75" thickBot="1">
      <c r="C445" s="254"/>
      <c r="D445" s="82"/>
      <c r="E445" s="4"/>
      <c r="F445" s="4"/>
      <c r="G445" s="4"/>
      <c r="H445" s="935"/>
      <c r="I445" s="935"/>
      <c r="J445" s="936"/>
      <c r="K445" s="935"/>
      <c r="L445" s="935"/>
      <c r="M445" s="935"/>
      <c r="N445" s="935"/>
      <c r="O445" s="4"/>
    </row>
    <row r="446" spans="1:16" ht="15.75">
      <c r="C446" s="422" t="s">
        <v>293</v>
      </c>
      <c r="D446" s="82"/>
      <c r="E446" s="4"/>
      <c r="F446" s="4"/>
      <c r="G446" s="937"/>
      <c r="H446" s="4" t="s">
        <v>272</v>
      </c>
      <c r="I446" s="4"/>
      <c r="J446" s="4"/>
      <c r="K446" s="481" t="s">
        <v>297</v>
      </c>
      <c r="L446" s="482"/>
      <c r="M446" s="483"/>
      <c r="N446" s="938">
        <f>VLOOKUP(I452,C459:O518,5)</f>
        <v>101640.49765553497</v>
      </c>
      <c r="O446" s="4"/>
    </row>
    <row r="447" spans="1:16" ht="15.75">
      <c r="C447" s="422"/>
      <c r="D447" s="82"/>
      <c r="E447" s="4"/>
      <c r="F447" s="4"/>
      <c r="G447" s="4"/>
      <c r="H447" s="939"/>
      <c r="I447" s="939"/>
      <c r="J447" s="940"/>
      <c r="K447" s="486" t="s">
        <v>298</v>
      </c>
      <c r="L447" s="941"/>
      <c r="M447" s="4"/>
      <c r="N447" s="942">
        <f>VLOOKUP(I452,C459:O518,6)</f>
        <v>101640.49765553497</v>
      </c>
      <c r="O447" s="4"/>
    </row>
    <row r="448" spans="1:16" ht="13.5" thickBot="1">
      <c r="C448" s="487" t="s">
        <v>294</v>
      </c>
      <c r="D448" s="1274" t="s">
        <v>936</v>
      </c>
      <c r="E448" s="1275"/>
      <c r="F448" s="1275"/>
      <c r="G448" s="1275"/>
      <c r="H448" s="1275"/>
      <c r="I448" s="1275"/>
      <c r="J448" s="936"/>
      <c r="K448" s="943" t="s">
        <v>451</v>
      </c>
      <c r="L448" s="944"/>
      <c r="M448" s="944"/>
      <c r="N448" s="945">
        <f>+N447-N446</f>
        <v>0</v>
      </c>
      <c r="O448" s="4"/>
    </row>
    <row r="449" spans="1:15">
      <c r="C449" s="489"/>
      <c r="D449" s="1275"/>
      <c r="E449" s="1275"/>
      <c r="F449" s="1275"/>
      <c r="G449" s="1275"/>
      <c r="H449" s="1275"/>
      <c r="I449" s="1275"/>
      <c r="J449" s="936"/>
      <c r="K449" s="935"/>
      <c r="L449" s="935"/>
      <c r="M449" s="935"/>
      <c r="N449" s="935"/>
      <c r="O449" s="4"/>
    </row>
    <row r="450" spans="1:15" ht="13.5" thickBot="1">
      <c r="C450" s="489"/>
      <c r="D450" s="4"/>
      <c r="E450" s="490"/>
      <c r="F450" s="490"/>
      <c r="G450" s="490"/>
      <c r="H450" s="490"/>
      <c r="I450" s="490"/>
      <c r="J450" s="490"/>
      <c r="K450" s="490"/>
      <c r="L450" s="490"/>
      <c r="M450" s="490"/>
      <c r="N450" s="490"/>
      <c r="O450" s="4"/>
    </row>
    <row r="451" spans="1:15" ht="13.5" thickBot="1">
      <c r="C451" s="491" t="s">
        <v>295</v>
      </c>
      <c r="D451" s="492"/>
      <c r="E451" s="492"/>
      <c r="F451" s="492"/>
      <c r="G451" s="492"/>
      <c r="H451" s="492"/>
      <c r="I451" s="493"/>
      <c r="K451" s="4"/>
      <c r="L451" s="4"/>
      <c r="M451" s="4"/>
      <c r="N451" s="4"/>
      <c r="O451" s="4"/>
    </row>
    <row r="452" spans="1:15" ht="15">
      <c r="C452" s="494" t="s">
        <v>273</v>
      </c>
      <c r="D452" s="946">
        <v>818037</v>
      </c>
      <c r="E452" s="4" t="s">
        <v>274</v>
      </c>
      <c r="G452" s="82"/>
      <c r="H452" s="82"/>
      <c r="I452" s="495">
        <v>2018</v>
      </c>
      <c r="J452" s="138"/>
      <c r="K452" s="1272" t="s">
        <v>460</v>
      </c>
      <c r="L452" s="1272"/>
      <c r="M452" s="1272"/>
      <c r="N452" s="1272"/>
      <c r="O452" s="1272"/>
    </row>
    <row r="453" spans="1:15">
      <c r="C453" s="494" t="s">
        <v>276</v>
      </c>
      <c r="D453" s="647">
        <v>2013</v>
      </c>
      <c r="E453" s="494" t="s">
        <v>277</v>
      </c>
      <c r="F453" s="82"/>
      <c r="H453"/>
      <c r="I453" s="650">
        <f>IF(G446="",0,$F$15)</f>
        <v>0</v>
      </c>
      <c r="J453" s="496"/>
      <c r="K453" s="936" t="s">
        <v>460</v>
      </c>
    </row>
    <row r="454" spans="1:15">
      <c r="C454" s="494" t="s">
        <v>278</v>
      </c>
      <c r="D454" s="946">
        <v>12</v>
      </c>
      <c r="E454" s="494" t="s">
        <v>279</v>
      </c>
      <c r="F454" s="82"/>
      <c r="H454"/>
      <c r="I454" s="497">
        <f>$G$70</f>
        <v>0.11108872081308177</v>
      </c>
      <c r="J454" s="84"/>
      <c r="K454" t="str">
        <f>"          INPUT PROJECTED ARR (WITH &amp; WITHOUT INCENTIVES) FROM EACH PRIOR YEAR"</f>
        <v xml:space="preserve">          INPUT PROJECTED ARR (WITH &amp; WITHOUT INCENTIVES) FROM EACH PRIOR YEAR</v>
      </c>
    </row>
    <row r="455" spans="1:15">
      <c r="C455" s="494" t="s">
        <v>280</v>
      </c>
      <c r="D455" s="498">
        <f>G$79</f>
        <v>38</v>
      </c>
      <c r="E455" s="494" t="s">
        <v>281</v>
      </c>
      <c r="F455" s="82"/>
      <c r="H455"/>
      <c r="I455" s="497">
        <f>IF(G446="",I454,$G$67)</f>
        <v>0.11108872081308177</v>
      </c>
      <c r="J455" s="84"/>
      <c r="K455" t="s">
        <v>358</v>
      </c>
    </row>
    <row r="456" spans="1:15" ht="13.5" thickBot="1">
      <c r="C456" s="494" t="s">
        <v>282</v>
      </c>
      <c r="D456" s="649" t="s">
        <v>930</v>
      </c>
      <c r="E456" s="499" t="s">
        <v>283</v>
      </c>
      <c r="F456" s="500"/>
      <c r="G456" s="501"/>
      <c r="H456" s="501"/>
      <c r="I456" s="945">
        <f>IF(D452=0,0,D452/D455)</f>
        <v>21527.28947368421</v>
      </c>
      <c r="J456" s="936"/>
      <c r="K456" s="936" t="s">
        <v>364</v>
      </c>
      <c r="L456" s="936"/>
      <c r="M456" s="936"/>
      <c r="N456" s="936"/>
      <c r="O456" s="4"/>
    </row>
    <row r="457" spans="1:15" ht="51">
      <c r="A457" s="12"/>
      <c r="B457" s="12"/>
      <c r="C457" s="502" t="s">
        <v>273</v>
      </c>
      <c r="D457" s="947" t="s">
        <v>284</v>
      </c>
      <c r="E457" s="948" t="s">
        <v>285</v>
      </c>
      <c r="F457" s="947" t="s">
        <v>286</v>
      </c>
      <c r="G457" s="948" t="s">
        <v>357</v>
      </c>
      <c r="H457" s="949" t="s">
        <v>357</v>
      </c>
      <c r="I457" s="502" t="s">
        <v>296</v>
      </c>
      <c r="J457" s="506"/>
      <c r="K457" s="948" t="s">
        <v>366</v>
      </c>
      <c r="L457" s="950"/>
      <c r="M457" s="948" t="s">
        <v>366</v>
      </c>
      <c r="N457" s="950"/>
      <c r="O457" s="950"/>
    </row>
    <row r="458" spans="1:15" ht="13.5" thickBot="1">
      <c r="C458" s="507" t="s">
        <v>178</v>
      </c>
      <c r="D458" s="508" t="s">
        <v>179</v>
      </c>
      <c r="E458" s="507" t="s">
        <v>38</v>
      </c>
      <c r="F458" s="508" t="s">
        <v>179</v>
      </c>
      <c r="G458" s="951" t="s">
        <v>299</v>
      </c>
      <c r="H458" s="952" t="s">
        <v>301</v>
      </c>
      <c r="I458" s="507" t="s">
        <v>390</v>
      </c>
      <c r="J458" s="511"/>
      <c r="K458" s="951" t="s">
        <v>288</v>
      </c>
      <c r="L458" s="953"/>
      <c r="M458" s="951" t="s">
        <v>301</v>
      </c>
      <c r="N458" s="953"/>
      <c r="O458" s="953"/>
    </row>
    <row r="459" spans="1:15">
      <c r="C459" s="512">
        <f>IF(D453= "","-",D453)</f>
        <v>2013</v>
      </c>
      <c r="D459" s="477">
        <f>+D452</f>
        <v>818037</v>
      </c>
      <c r="E459" s="954">
        <f>+I456/12*(12-D454)</f>
        <v>0</v>
      </c>
      <c r="F459" s="477">
        <f t="shared" ref="F459:F518" si="24">+D459-E459</f>
        <v>818037</v>
      </c>
      <c r="G459" s="955">
        <f>+$I$454*((D459+F459)/2)+E459</f>
        <v>90874.683907770974</v>
      </c>
      <c r="H459" s="956">
        <f>+$I$455*((D459+F459)/2)+E459</f>
        <v>90874.683907770974</v>
      </c>
      <c r="I459" s="516">
        <f>+H459-G459</f>
        <v>0</v>
      </c>
      <c r="J459" s="516"/>
      <c r="K459" s="652">
        <v>0</v>
      </c>
      <c r="L459" s="518"/>
      <c r="M459" s="652">
        <v>0</v>
      </c>
      <c r="N459" s="518"/>
      <c r="O459" s="518"/>
    </row>
    <row r="460" spans="1:15">
      <c r="C460" s="512">
        <f>IF(D453="","-",+C459+1)</f>
        <v>2014</v>
      </c>
      <c r="D460" s="477">
        <f t="shared" ref="D460:D518" si="25">F459</f>
        <v>818037</v>
      </c>
      <c r="E460" s="519">
        <f>IF(D460&gt;$I$456,$I$456,D460)</f>
        <v>21527.28947368421</v>
      </c>
      <c r="F460" s="477">
        <f t="shared" si="24"/>
        <v>796509.71052631584</v>
      </c>
      <c r="G460" s="954">
        <f t="shared" ref="G460:G518" si="26">+$I$454*((D460+F460)/2)+E460</f>
        <v>111206.25385635295</v>
      </c>
      <c r="H460" s="957">
        <f t="shared" ref="H460:H518" si="27">+$I$455*((D460+F460)/2)+E460</f>
        <v>111206.25385635295</v>
      </c>
      <c r="I460" s="516">
        <f t="shared" ref="I460:I518" si="28">+H460-G460</f>
        <v>0</v>
      </c>
      <c r="J460" s="516"/>
      <c r="K460" s="652">
        <v>139756</v>
      </c>
      <c r="L460" s="522"/>
      <c r="M460" s="652">
        <v>139756</v>
      </c>
      <c r="N460" s="522"/>
      <c r="O460" s="522"/>
    </row>
    <row r="461" spans="1:15">
      <c r="C461" s="512">
        <f>IF(D453="","-",+C460+1)</f>
        <v>2015</v>
      </c>
      <c r="D461" s="477">
        <f t="shared" si="25"/>
        <v>796509.71052631584</v>
      </c>
      <c r="E461" s="519">
        <f t="shared" ref="E461:E518" si="29">IF(D461&gt;$I$456,$I$456,D461)</f>
        <v>21527.28947368421</v>
      </c>
      <c r="F461" s="477">
        <f t="shared" si="24"/>
        <v>774982.42105263169</v>
      </c>
      <c r="G461" s="954">
        <f t="shared" si="26"/>
        <v>108814.81480614844</v>
      </c>
      <c r="H461" s="957">
        <f t="shared" si="27"/>
        <v>108814.81480614844</v>
      </c>
      <c r="I461" s="516">
        <f t="shared" si="28"/>
        <v>0</v>
      </c>
      <c r="J461" s="516"/>
      <c r="K461" s="652">
        <v>133078</v>
      </c>
      <c r="L461" s="522"/>
      <c r="M461" s="652">
        <v>133078</v>
      </c>
      <c r="N461" s="522"/>
      <c r="O461" s="522"/>
    </row>
    <row r="462" spans="1:15">
      <c r="C462" s="512">
        <f>IF(D453="","-",+C461+1)</f>
        <v>2016</v>
      </c>
      <c r="D462" s="477">
        <f t="shared" si="25"/>
        <v>774982.42105263169</v>
      </c>
      <c r="E462" s="519">
        <f t="shared" si="29"/>
        <v>21527.28947368421</v>
      </c>
      <c r="F462" s="477">
        <f t="shared" si="24"/>
        <v>753455.13157894753</v>
      </c>
      <c r="G462" s="954">
        <f t="shared" si="26"/>
        <v>106423.37575594395</v>
      </c>
      <c r="H462" s="957">
        <f t="shared" si="27"/>
        <v>106423.37575594395</v>
      </c>
      <c r="I462" s="516">
        <f t="shared" si="28"/>
        <v>0</v>
      </c>
      <c r="J462" s="516"/>
      <c r="K462" s="652">
        <v>132118</v>
      </c>
      <c r="L462" s="522"/>
      <c r="M462" s="652">
        <v>132118</v>
      </c>
      <c r="N462" s="522"/>
      <c r="O462" s="522"/>
    </row>
    <row r="463" spans="1:15">
      <c r="C463" s="512">
        <f>IF(D453="","-",+C462+1)</f>
        <v>2017</v>
      </c>
      <c r="D463" s="477">
        <f t="shared" si="25"/>
        <v>753455.13157894753</v>
      </c>
      <c r="E463" s="519">
        <f t="shared" si="29"/>
        <v>21527.28947368421</v>
      </c>
      <c r="F463" s="477">
        <f t="shared" si="24"/>
        <v>731927.84210526338</v>
      </c>
      <c r="G463" s="954">
        <f t="shared" si="26"/>
        <v>104031.93670573946</v>
      </c>
      <c r="H463" s="957">
        <f t="shared" si="27"/>
        <v>104031.93670573946</v>
      </c>
      <c r="I463" s="516">
        <f t="shared" si="28"/>
        <v>0</v>
      </c>
      <c r="J463" s="516"/>
      <c r="K463" s="652">
        <v>119121</v>
      </c>
      <c r="L463" s="522"/>
      <c r="M463" s="652">
        <v>119121</v>
      </c>
      <c r="N463" s="522"/>
      <c r="O463" s="522"/>
    </row>
    <row r="464" spans="1:15">
      <c r="C464" s="512">
        <f>IF(D453="","-",+C463+1)</f>
        <v>2018</v>
      </c>
      <c r="D464" s="477">
        <f t="shared" si="25"/>
        <v>731927.84210526338</v>
      </c>
      <c r="E464" s="519">
        <f t="shared" si="29"/>
        <v>21527.28947368421</v>
      </c>
      <c r="F464" s="477">
        <f t="shared" si="24"/>
        <v>710400.55263157922</v>
      </c>
      <c r="G464" s="954">
        <f t="shared" si="26"/>
        <v>101640.49765553497</v>
      </c>
      <c r="H464" s="957">
        <f t="shared" si="27"/>
        <v>101640.49765553497</v>
      </c>
      <c r="I464" s="516">
        <f t="shared" si="28"/>
        <v>0</v>
      </c>
      <c r="J464" s="516"/>
      <c r="K464" s="652"/>
      <c r="L464" s="522"/>
      <c r="M464" s="652"/>
      <c r="N464" s="522"/>
      <c r="O464" s="522"/>
    </row>
    <row r="465" spans="3:15">
      <c r="C465" s="512">
        <f>IF(D453="","-",+C464+1)</f>
        <v>2019</v>
      </c>
      <c r="D465" s="477">
        <f t="shared" si="25"/>
        <v>710400.55263157922</v>
      </c>
      <c r="E465" s="519">
        <f t="shared" si="29"/>
        <v>21527.28947368421</v>
      </c>
      <c r="F465" s="477">
        <f t="shared" si="24"/>
        <v>688873.26315789507</v>
      </c>
      <c r="G465" s="954">
        <f t="shared" si="26"/>
        <v>99249.058605330472</v>
      </c>
      <c r="H465" s="957">
        <f t="shared" si="27"/>
        <v>99249.058605330472</v>
      </c>
      <c r="I465" s="516">
        <f t="shared" si="28"/>
        <v>0</v>
      </c>
      <c r="J465" s="516"/>
      <c r="K465" s="652"/>
      <c r="L465" s="522"/>
      <c r="M465" s="652"/>
      <c r="N465" s="522"/>
      <c r="O465" s="522"/>
    </row>
    <row r="466" spans="3:15">
      <c r="C466" s="512">
        <f>IF(D453="","-",+C465+1)</f>
        <v>2020</v>
      </c>
      <c r="D466" s="477">
        <f t="shared" si="25"/>
        <v>688873.26315789507</v>
      </c>
      <c r="E466" s="519">
        <f t="shared" si="29"/>
        <v>21527.28947368421</v>
      </c>
      <c r="F466" s="477">
        <f t="shared" si="24"/>
        <v>667345.97368421091</v>
      </c>
      <c r="G466" s="954">
        <f t="shared" si="26"/>
        <v>96857.619555125988</v>
      </c>
      <c r="H466" s="957">
        <f t="shared" si="27"/>
        <v>96857.619555125988</v>
      </c>
      <c r="I466" s="516">
        <f t="shared" si="28"/>
        <v>0</v>
      </c>
      <c r="J466" s="516"/>
      <c r="K466" s="652"/>
      <c r="L466" s="522"/>
      <c r="M466" s="652"/>
      <c r="N466" s="522"/>
      <c r="O466" s="522"/>
    </row>
    <row r="467" spans="3:15">
      <c r="C467" s="512">
        <f>IF(D453="","-",+C466+1)</f>
        <v>2021</v>
      </c>
      <c r="D467" s="477">
        <f t="shared" si="25"/>
        <v>667345.97368421091</v>
      </c>
      <c r="E467" s="519">
        <f t="shared" si="29"/>
        <v>21527.28947368421</v>
      </c>
      <c r="F467" s="477">
        <f t="shared" si="24"/>
        <v>645818.68421052676</v>
      </c>
      <c r="G467" s="954">
        <f t="shared" si="26"/>
        <v>94466.180504921474</v>
      </c>
      <c r="H467" s="957">
        <f t="shared" si="27"/>
        <v>94466.180504921474</v>
      </c>
      <c r="I467" s="516">
        <f t="shared" si="28"/>
        <v>0</v>
      </c>
      <c r="J467" s="516"/>
      <c r="K467" s="652"/>
      <c r="L467" s="522"/>
      <c r="M467" s="652"/>
      <c r="N467" s="522"/>
      <c r="O467" s="522"/>
    </row>
    <row r="468" spans="3:15">
      <c r="C468" s="512">
        <f>IF(D453="","-",+C467+1)</f>
        <v>2022</v>
      </c>
      <c r="D468" s="477">
        <f t="shared" si="25"/>
        <v>645818.68421052676</v>
      </c>
      <c r="E468" s="519">
        <f t="shared" si="29"/>
        <v>21527.28947368421</v>
      </c>
      <c r="F468" s="477">
        <f t="shared" si="24"/>
        <v>624291.3947368426</v>
      </c>
      <c r="G468" s="954">
        <f t="shared" si="26"/>
        <v>92074.741454717005</v>
      </c>
      <c r="H468" s="957">
        <f t="shared" si="27"/>
        <v>92074.741454717005</v>
      </c>
      <c r="I468" s="516">
        <f t="shared" si="28"/>
        <v>0</v>
      </c>
      <c r="J468" s="516"/>
      <c r="K468" s="652"/>
      <c r="L468" s="522"/>
      <c r="M468" s="652"/>
      <c r="N468" s="522"/>
      <c r="O468" s="522"/>
    </row>
    <row r="469" spans="3:15">
      <c r="C469" s="512">
        <f>IF(D453="","-",+C468+1)</f>
        <v>2023</v>
      </c>
      <c r="D469" s="477">
        <f t="shared" si="25"/>
        <v>624291.3947368426</v>
      </c>
      <c r="E469" s="519">
        <f t="shared" si="29"/>
        <v>21527.28947368421</v>
      </c>
      <c r="F469" s="477">
        <f t="shared" si="24"/>
        <v>602764.10526315845</v>
      </c>
      <c r="G469" s="954">
        <f t="shared" si="26"/>
        <v>89683.302404512491</v>
      </c>
      <c r="H469" s="957">
        <f t="shared" si="27"/>
        <v>89683.302404512491</v>
      </c>
      <c r="I469" s="516">
        <f t="shared" si="28"/>
        <v>0</v>
      </c>
      <c r="J469" s="516"/>
      <c r="K469" s="652"/>
      <c r="L469" s="522"/>
      <c r="M469" s="652"/>
      <c r="N469" s="522"/>
      <c r="O469" s="522"/>
    </row>
    <row r="470" spans="3:15">
      <c r="C470" s="512">
        <f>IF(D453="","-",+C469+1)</f>
        <v>2024</v>
      </c>
      <c r="D470" s="477">
        <f t="shared" si="25"/>
        <v>602764.10526315845</v>
      </c>
      <c r="E470" s="519">
        <f t="shared" si="29"/>
        <v>21527.28947368421</v>
      </c>
      <c r="F470" s="477">
        <f t="shared" si="24"/>
        <v>581236.81578947429</v>
      </c>
      <c r="G470" s="954">
        <f t="shared" si="26"/>
        <v>87291.863354308021</v>
      </c>
      <c r="H470" s="957">
        <f t="shared" si="27"/>
        <v>87291.863354308021</v>
      </c>
      <c r="I470" s="516">
        <f t="shared" si="28"/>
        <v>0</v>
      </c>
      <c r="J470" s="516"/>
      <c r="K470" s="652"/>
      <c r="L470" s="522"/>
      <c r="M470" s="652"/>
      <c r="N470" s="522"/>
      <c r="O470" s="522"/>
    </row>
    <row r="471" spans="3:15">
      <c r="C471" s="512">
        <f>IF(D453="","-",+C470+1)</f>
        <v>2025</v>
      </c>
      <c r="D471" s="477">
        <f t="shared" si="25"/>
        <v>581236.81578947429</v>
      </c>
      <c r="E471" s="519">
        <f t="shared" si="29"/>
        <v>21527.28947368421</v>
      </c>
      <c r="F471" s="477">
        <f t="shared" si="24"/>
        <v>559709.52631579014</v>
      </c>
      <c r="G471" s="954">
        <f t="shared" si="26"/>
        <v>84900.424304103508</v>
      </c>
      <c r="H471" s="957">
        <f t="shared" si="27"/>
        <v>84900.424304103508</v>
      </c>
      <c r="I471" s="516">
        <f t="shared" si="28"/>
        <v>0</v>
      </c>
      <c r="J471" s="516"/>
      <c r="K471" s="652"/>
      <c r="L471" s="522"/>
      <c r="M471" s="652"/>
      <c r="N471" s="522"/>
      <c r="O471" s="522"/>
    </row>
    <row r="472" spans="3:15">
      <c r="C472" s="512">
        <f>IF(D453="","-",+C471+1)</f>
        <v>2026</v>
      </c>
      <c r="D472" s="477">
        <f t="shared" si="25"/>
        <v>559709.52631579014</v>
      </c>
      <c r="E472" s="519">
        <f t="shared" si="29"/>
        <v>21527.28947368421</v>
      </c>
      <c r="F472" s="477">
        <f t="shared" si="24"/>
        <v>538182.23684210598</v>
      </c>
      <c r="G472" s="954">
        <f t="shared" si="26"/>
        <v>82508.985253899024</v>
      </c>
      <c r="H472" s="957">
        <f t="shared" si="27"/>
        <v>82508.985253899024</v>
      </c>
      <c r="I472" s="516">
        <f t="shared" si="28"/>
        <v>0</v>
      </c>
      <c r="J472" s="516"/>
      <c r="K472" s="652"/>
      <c r="L472" s="522"/>
      <c r="M472" s="652"/>
      <c r="N472" s="522"/>
      <c r="O472" s="522"/>
    </row>
    <row r="473" spans="3:15">
      <c r="C473" s="512">
        <f>IF(D453="","-",+C472+1)</f>
        <v>2027</v>
      </c>
      <c r="D473" s="477">
        <f t="shared" si="25"/>
        <v>538182.23684210598</v>
      </c>
      <c r="E473" s="519">
        <f t="shared" si="29"/>
        <v>21527.28947368421</v>
      </c>
      <c r="F473" s="477">
        <f t="shared" si="24"/>
        <v>516654.94736842177</v>
      </c>
      <c r="G473" s="954">
        <f t="shared" si="26"/>
        <v>80117.546203694525</v>
      </c>
      <c r="H473" s="957">
        <f t="shared" si="27"/>
        <v>80117.546203694525</v>
      </c>
      <c r="I473" s="516">
        <f t="shared" si="28"/>
        <v>0</v>
      </c>
      <c r="J473" s="516"/>
      <c r="K473" s="652"/>
      <c r="L473" s="522"/>
      <c r="M473" s="652"/>
      <c r="N473" s="522"/>
      <c r="O473" s="522"/>
    </row>
    <row r="474" spans="3:15">
      <c r="C474" s="512">
        <f>IF(D453="","-",+C473+1)</f>
        <v>2028</v>
      </c>
      <c r="D474" s="477">
        <f t="shared" si="25"/>
        <v>516654.94736842177</v>
      </c>
      <c r="E474" s="519">
        <f t="shared" si="29"/>
        <v>21527.28947368421</v>
      </c>
      <c r="F474" s="477">
        <f t="shared" si="24"/>
        <v>495127.65789473755</v>
      </c>
      <c r="G474" s="954">
        <f t="shared" si="26"/>
        <v>77726.107153490026</v>
      </c>
      <c r="H474" s="957">
        <f t="shared" si="27"/>
        <v>77726.107153490026</v>
      </c>
      <c r="I474" s="516">
        <f t="shared" si="28"/>
        <v>0</v>
      </c>
      <c r="J474" s="516"/>
      <c r="K474" s="652"/>
      <c r="L474" s="522"/>
      <c r="M474" s="652"/>
      <c r="N474" s="522"/>
      <c r="O474" s="522"/>
    </row>
    <row r="475" spans="3:15">
      <c r="C475" s="512">
        <f>IF(D453="","-",+C474+1)</f>
        <v>2029</v>
      </c>
      <c r="D475" s="477">
        <f t="shared" si="25"/>
        <v>495127.65789473755</v>
      </c>
      <c r="E475" s="519">
        <f t="shared" si="29"/>
        <v>21527.28947368421</v>
      </c>
      <c r="F475" s="477">
        <f t="shared" si="24"/>
        <v>473600.36842105334</v>
      </c>
      <c r="G475" s="954">
        <f t="shared" si="26"/>
        <v>75334.668103285512</v>
      </c>
      <c r="H475" s="957">
        <f t="shared" si="27"/>
        <v>75334.668103285512</v>
      </c>
      <c r="I475" s="516">
        <f t="shared" si="28"/>
        <v>0</v>
      </c>
      <c r="J475" s="516"/>
      <c r="K475" s="652"/>
      <c r="L475" s="522"/>
      <c r="M475" s="652"/>
      <c r="N475" s="522"/>
      <c r="O475" s="522"/>
    </row>
    <row r="476" spans="3:15">
      <c r="C476" s="512">
        <f>IF(D453="","-",+C475+1)</f>
        <v>2030</v>
      </c>
      <c r="D476" s="477">
        <f t="shared" si="25"/>
        <v>473600.36842105334</v>
      </c>
      <c r="E476" s="519">
        <f t="shared" si="29"/>
        <v>21527.28947368421</v>
      </c>
      <c r="F476" s="477">
        <f t="shared" si="24"/>
        <v>452073.07894736913</v>
      </c>
      <c r="G476" s="954">
        <f t="shared" si="26"/>
        <v>72943.229053081028</v>
      </c>
      <c r="H476" s="957">
        <f t="shared" si="27"/>
        <v>72943.229053081028</v>
      </c>
      <c r="I476" s="516">
        <f t="shared" si="28"/>
        <v>0</v>
      </c>
      <c r="J476" s="516"/>
      <c r="K476" s="652"/>
      <c r="L476" s="522"/>
      <c r="M476" s="652"/>
      <c r="N476" s="522"/>
      <c r="O476" s="522"/>
    </row>
    <row r="477" spans="3:15">
      <c r="C477" s="512">
        <f>IF(D453="","-",+C476+1)</f>
        <v>2031</v>
      </c>
      <c r="D477" s="477">
        <f t="shared" si="25"/>
        <v>452073.07894736913</v>
      </c>
      <c r="E477" s="519">
        <f t="shared" si="29"/>
        <v>21527.28947368421</v>
      </c>
      <c r="F477" s="477">
        <f t="shared" si="24"/>
        <v>430545.78947368491</v>
      </c>
      <c r="G477" s="954">
        <f t="shared" si="26"/>
        <v>70551.790002876514</v>
      </c>
      <c r="H477" s="957">
        <f t="shared" si="27"/>
        <v>70551.790002876514</v>
      </c>
      <c r="I477" s="516">
        <f t="shared" si="28"/>
        <v>0</v>
      </c>
      <c r="J477" s="516"/>
      <c r="K477" s="652"/>
      <c r="L477" s="522"/>
      <c r="M477" s="652"/>
      <c r="N477" s="522"/>
      <c r="O477" s="522"/>
    </row>
    <row r="478" spans="3:15">
      <c r="C478" s="512">
        <f>IF(D453="","-",+C477+1)</f>
        <v>2032</v>
      </c>
      <c r="D478" s="477">
        <f t="shared" si="25"/>
        <v>430545.78947368491</v>
      </c>
      <c r="E478" s="519">
        <f t="shared" si="29"/>
        <v>21527.28947368421</v>
      </c>
      <c r="F478" s="477">
        <f t="shared" si="24"/>
        <v>409018.5000000007</v>
      </c>
      <c r="G478" s="954">
        <f t="shared" si="26"/>
        <v>68160.35095267203</v>
      </c>
      <c r="H478" s="957">
        <f t="shared" si="27"/>
        <v>68160.35095267203</v>
      </c>
      <c r="I478" s="516">
        <f t="shared" si="28"/>
        <v>0</v>
      </c>
      <c r="J478" s="516"/>
      <c r="K478" s="652"/>
      <c r="L478" s="522"/>
      <c r="M478" s="652"/>
      <c r="N478" s="522"/>
      <c r="O478" s="522"/>
    </row>
    <row r="479" spans="3:15">
      <c r="C479" s="512">
        <f>IF(D453="","-",+C478+1)</f>
        <v>2033</v>
      </c>
      <c r="D479" s="477">
        <f t="shared" si="25"/>
        <v>409018.5000000007</v>
      </c>
      <c r="E479" s="519">
        <f t="shared" si="29"/>
        <v>21527.28947368421</v>
      </c>
      <c r="F479" s="477">
        <f t="shared" si="24"/>
        <v>387491.21052631648</v>
      </c>
      <c r="G479" s="954">
        <f t="shared" si="26"/>
        <v>65768.911902467516</v>
      </c>
      <c r="H479" s="957">
        <f t="shared" si="27"/>
        <v>65768.911902467516</v>
      </c>
      <c r="I479" s="516">
        <f t="shared" si="28"/>
        <v>0</v>
      </c>
      <c r="J479" s="516"/>
      <c r="K479" s="652"/>
      <c r="L479" s="522"/>
      <c r="M479" s="652"/>
      <c r="N479" s="522"/>
      <c r="O479" s="522"/>
    </row>
    <row r="480" spans="3:15">
      <c r="C480" s="512">
        <f>IF(D453="","-",+C479+1)</f>
        <v>2034</v>
      </c>
      <c r="D480" s="477">
        <f t="shared" si="25"/>
        <v>387491.21052631648</v>
      </c>
      <c r="E480" s="519">
        <f t="shared" si="29"/>
        <v>21527.28947368421</v>
      </c>
      <c r="F480" s="477">
        <f t="shared" si="24"/>
        <v>365963.92105263227</v>
      </c>
      <c r="G480" s="954">
        <f t="shared" si="26"/>
        <v>63377.472852263032</v>
      </c>
      <c r="H480" s="957">
        <f t="shared" si="27"/>
        <v>63377.472852263032</v>
      </c>
      <c r="I480" s="516">
        <f t="shared" si="28"/>
        <v>0</v>
      </c>
      <c r="J480" s="516"/>
      <c r="K480" s="652"/>
      <c r="L480" s="522"/>
      <c r="M480" s="652"/>
      <c r="N480" s="522"/>
      <c r="O480" s="522"/>
    </row>
    <row r="481" spans="3:15">
      <c r="C481" s="512">
        <f>IF(D453="","-",+C480+1)</f>
        <v>2035</v>
      </c>
      <c r="D481" s="477">
        <f t="shared" si="25"/>
        <v>365963.92105263227</v>
      </c>
      <c r="E481" s="519">
        <f t="shared" si="29"/>
        <v>21527.28947368421</v>
      </c>
      <c r="F481" s="477">
        <f t="shared" si="24"/>
        <v>344436.63157894806</v>
      </c>
      <c r="G481" s="954">
        <f t="shared" si="26"/>
        <v>60986.033802058519</v>
      </c>
      <c r="H481" s="957">
        <f t="shared" si="27"/>
        <v>60986.033802058519</v>
      </c>
      <c r="I481" s="516">
        <f t="shared" si="28"/>
        <v>0</v>
      </c>
      <c r="J481" s="516"/>
      <c r="K481" s="652"/>
      <c r="L481" s="522"/>
      <c r="M481" s="652"/>
      <c r="N481" s="522"/>
      <c r="O481" s="522"/>
    </row>
    <row r="482" spans="3:15">
      <c r="C482" s="512">
        <f>IF(D453="","-",+C481+1)</f>
        <v>2036</v>
      </c>
      <c r="D482" s="477">
        <f t="shared" si="25"/>
        <v>344436.63157894806</v>
      </c>
      <c r="E482" s="519">
        <f t="shared" si="29"/>
        <v>21527.28947368421</v>
      </c>
      <c r="F482" s="477">
        <f t="shared" si="24"/>
        <v>322909.34210526384</v>
      </c>
      <c r="G482" s="954">
        <f t="shared" si="26"/>
        <v>58594.594751854034</v>
      </c>
      <c r="H482" s="957">
        <f t="shared" si="27"/>
        <v>58594.594751854034</v>
      </c>
      <c r="I482" s="516">
        <f t="shared" si="28"/>
        <v>0</v>
      </c>
      <c r="J482" s="516"/>
      <c r="K482" s="652"/>
      <c r="L482" s="522"/>
      <c r="M482" s="652"/>
      <c r="N482" s="522"/>
      <c r="O482" s="522"/>
    </row>
    <row r="483" spans="3:15">
      <c r="C483" s="512">
        <f>IF(D453="","-",+C482+1)</f>
        <v>2037</v>
      </c>
      <c r="D483" s="477">
        <f t="shared" si="25"/>
        <v>322909.34210526384</v>
      </c>
      <c r="E483" s="519">
        <f t="shared" si="29"/>
        <v>21527.28947368421</v>
      </c>
      <c r="F483" s="477">
        <f t="shared" si="24"/>
        <v>301382.05263157963</v>
      </c>
      <c r="G483" s="954">
        <f t="shared" si="26"/>
        <v>56203.155701649521</v>
      </c>
      <c r="H483" s="957">
        <f t="shared" si="27"/>
        <v>56203.155701649521</v>
      </c>
      <c r="I483" s="516">
        <f t="shared" si="28"/>
        <v>0</v>
      </c>
      <c r="J483" s="516"/>
      <c r="K483" s="652"/>
      <c r="L483" s="522"/>
      <c r="M483" s="652"/>
      <c r="N483" s="522"/>
      <c r="O483" s="522"/>
    </row>
    <row r="484" spans="3:15">
      <c r="C484" s="512">
        <f>IF(D453="","-",+C483+1)</f>
        <v>2038</v>
      </c>
      <c r="D484" s="477">
        <f t="shared" si="25"/>
        <v>301382.05263157963</v>
      </c>
      <c r="E484" s="519">
        <f t="shared" si="29"/>
        <v>21527.28947368421</v>
      </c>
      <c r="F484" s="477">
        <f t="shared" si="24"/>
        <v>279854.76315789542</v>
      </c>
      <c r="G484" s="954">
        <f t="shared" si="26"/>
        <v>53811.716651445029</v>
      </c>
      <c r="H484" s="957">
        <f t="shared" si="27"/>
        <v>53811.716651445029</v>
      </c>
      <c r="I484" s="516">
        <f t="shared" si="28"/>
        <v>0</v>
      </c>
      <c r="J484" s="516"/>
      <c r="K484" s="652"/>
      <c r="L484" s="522"/>
      <c r="M484" s="652"/>
      <c r="N484" s="522"/>
      <c r="O484" s="522"/>
    </row>
    <row r="485" spans="3:15">
      <c r="C485" s="512">
        <f>IF(D453="","-",+C484+1)</f>
        <v>2039</v>
      </c>
      <c r="D485" s="477">
        <f t="shared" si="25"/>
        <v>279854.76315789542</v>
      </c>
      <c r="E485" s="519">
        <f t="shared" si="29"/>
        <v>21527.28947368421</v>
      </c>
      <c r="F485" s="477">
        <f t="shared" si="24"/>
        <v>258327.4736842112</v>
      </c>
      <c r="G485" s="954">
        <f t="shared" si="26"/>
        <v>51420.277601240523</v>
      </c>
      <c r="H485" s="957">
        <f t="shared" si="27"/>
        <v>51420.277601240523</v>
      </c>
      <c r="I485" s="516">
        <f t="shared" si="28"/>
        <v>0</v>
      </c>
      <c r="J485" s="516"/>
      <c r="K485" s="652"/>
      <c r="L485" s="522"/>
      <c r="M485" s="652"/>
      <c r="N485" s="522"/>
      <c r="O485" s="522"/>
    </row>
    <row r="486" spans="3:15">
      <c r="C486" s="512">
        <f>IF(D453="","-",+C485+1)</f>
        <v>2040</v>
      </c>
      <c r="D486" s="477">
        <f t="shared" si="25"/>
        <v>258327.4736842112</v>
      </c>
      <c r="E486" s="519">
        <f t="shared" si="29"/>
        <v>21527.28947368421</v>
      </c>
      <c r="F486" s="477">
        <f t="shared" si="24"/>
        <v>236800.18421052699</v>
      </c>
      <c r="G486" s="954">
        <f t="shared" si="26"/>
        <v>49028.838551036024</v>
      </c>
      <c r="H486" s="957">
        <f t="shared" si="27"/>
        <v>49028.838551036024</v>
      </c>
      <c r="I486" s="516">
        <f t="shared" si="28"/>
        <v>0</v>
      </c>
      <c r="J486" s="516"/>
      <c r="K486" s="652"/>
      <c r="L486" s="522"/>
      <c r="M486" s="652"/>
      <c r="N486" s="522"/>
      <c r="O486" s="522"/>
    </row>
    <row r="487" spans="3:15">
      <c r="C487" s="512">
        <f>IF(D453="","-",+C486+1)</f>
        <v>2041</v>
      </c>
      <c r="D487" s="477">
        <f t="shared" si="25"/>
        <v>236800.18421052699</v>
      </c>
      <c r="E487" s="519">
        <f t="shared" si="29"/>
        <v>21527.28947368421</v>
      </c>
      <c r="F487" s="477">
        <f t="shared" si="24"/>
        <v>215272.89473684278</v>
      </c>
      <c r="G487" s="965">
        <f t="shared" si="26"/>
        <v>46637.399500831525</v>
      </c>
      <c r="H487" s="957">
        <f t="shared" si="27"/>
        <v>46637.399500831525</v>
      </c>
      <c r="I487" s="516">
        <f t="shared" si="28"/>
        <v>0</v>
      </c>
      <c r="J487" s="516"/>
      <c r="K487" s="652"/>
      <c r="L487" s="522"/>
      <c r="M487" s="652"/>
      <c r="N487" s="522"/>
      <c r="O487" s="522"/>
    </row>
    <row r="488" spans="3:15">
      <c r="C488" s="512">
        <f>IF(D453="","-",+C487+1)</f>
        <v>2042</v>
      </c>
      <c r="D488" s="477">
        <f t="shared" si="25"/>
        <v>215272.89473684278</v>
      </c>
      <c r="E488" s="519">
        <f t="shared" si="29"/>
        <v>21527.28947368421</v>
      </c>
      <c r="F488" s="477">
        <f t="shared" si="24"/>
        <v>193745.60526315856</v>
      </c>
      <c r="G488" s="954">
        <f t="shared" si="26"/>
        <v>44245.960450627026</v>
      </c>
      <c r="H488" s="957">
        <f t="shared" si="27"/>
        <v>44245.960450627026</v>
      </c>
      <c r="I488" s="516">
        <f t="shared" si="28"/>
        <v>0</v>
      </c>
      <c r="J488" s="516"/>
      <c r="K488" s="652"/>
      <c r="L488" s="522"/>
      <c r="M488" s="652"/>
      <c r="N488" s="522"/>
      <c r="O488" s="522"/>
    </row>
    <row r="489" spans="3:15">
      <c r="C489" s="512">
        <f>IF(D453="","-",+C488+1)</f>
        <v>2043</v>
      </c>
      <c r="D489" s="477">
        <f t="shared" si="25"/>
        <v>193745.60526315856</v>
      </c>
      <c r="E489" s="519">
        <f t="shared" si="29"/>
        <v>21527.28947368421</v>
      </c>
      <c r="F489" s="477">
        <f t="shared" si="24"/>
        <v>172218.31578947435</v>
      </c>
      <c r="G489" s="954">
        <f t="shared" si="26"/>
        <v>41854.521400422527</v>
      </c>
      <c r="H489" s="957">
        <f t="shared" si="27"/>
        <v>41854.521400422527</v>
      </c>
      <c r="I489" s="516">
        <f t="shared" si="28"/>
        <v>0</v>
      </c>
      <c r="J489" s="516"/>
      <c r="K489" s="652"/>
      <c r="L489" s="522"/>
      <c r="M489" s="652"/>
      <c r="N489" s="522"/>
      <c r="O489" s="522"/>
    </row>
    <row r="490" spans="3:15">
      <c r="C490" s="512">
        <f>IF(D453="","-",+C489+1)</f>
        <v>2044</v>
      </c>
      <c r="D490" s="477">
        <f t="shared" si="25"/>
        <v>172218.31578947435</v>
      </c>
      <c r="E490" s="519">
        <f t="shared" si="29"/>
        <v>21527.28947368421</v>
      </c>
      <c r="F490" s="477">
        <f t="shared" si="24"/>
        <v>150691.02631579014</v>
      </c>
      <c r="G490" s="954">
        <f t="shared" si="26"/>
        <v>39463.082350218028</v>
      </c>
      <c r="H490" s="957">
        <f t="shared" si="27"/>
        <v>39463.082350218028</v>
      </c>
      <c r="I490" s="516">
        <f t="shared" si="28"/>
        <v>0</v>
      </c>
      <c r="J490" s="516"/>
      <c r="K490" s="652"/>
      <c r="L490" s="522"/>
      <c r="M490" s="652"/>
      <c r="N490" s="522"/>
      <c r="O490" s="522"/>
    </row>
    <row r="491" spans="3:15">
      <c r="C491" s="512">
        <f>IF(D453="","-",+C490+1)</f>
        <v>2045</v>
      </c>
      <c r="D491" s="477">
        <f t="shared" si="25"/>
        <v>150691.02631579014</v>
      </c>
      <c r="E491" s="519">
        <f t="shared" si="29"/>
        <v>21527.28947368421</v>
      </c>
      <c r="F491" s="477">
        <f t="shared" si="24"/>
        <v>129163.73684210592</v>
      </c>
      <c r="G491" s="954">
        <f t="shared" si="26"/>
        <v>37071.643300013529</v>
      </c>
      <c r="H491" s="957">
        <f t="shared" si="27"/>
        <v>37071.643300013529</v>
      </c>
      <c r="I491" s="516">
        <f t="shared" si="28"/>
        <v>0</v>
      </c>
      <c r="J491" s="516"/>
      <c r="K491" s="652"/>
      <c r="L491" s="522"/>
      <c r="M491" s="652"/>
      <c r="N491" s="522"/>
      <c r="O491" s="522"/>
    </row>
    <row r="492" spans="3:15">
      <c r="C492" s="512">
        <f>IF(D453="","-",+C491+1)</f>
        <v>2046</v>
      </c>
      <c r="D492" s="477">
        <f t="shared" si="25"/>
        <v>129163.73684210592</v>
      </c>
      <c r="E492" s="519">
        <f t="shared" si="29"/>
        <v>21527.28947368421</v>
      </c>
      <c r="F492" s="477">
        <f t="shared" si="24"/>
        <v>107636.44736842171</v>
      </c>
      <c r="G492" s="954">
        <f t="shared" si="26"/>
        <v>34680.20424980903</v>
      </c>
      <c r="H492" s="957">
        <f t="shared" si="27"/>
        <v>34680.20424980903</v>
      </c>
      <c r="I492" s="516">
        <f t="shared" si="28"/>
        <v>0</v>
      </c>
      <c r="J492" s="516"/>
      <c r="K492" s="652"/>
      <c r="L492" s="522"/>
      <c r="M492" s="652"/>
      <c r="N492" s="522"/>
      <c r="O492" s="522"/>
    </row>
    <row r="493" spans="3:15">
      <c r="C493" s="512">
        <f>IF(D453="","-",+C492+1)</f>
        <v>2047</v>
      </c>
      <c r="D493" s="477">
        <f t="shared" si="25"/>
        <v>107636.44736842171</v>
      </c>
      <c r="E493" s="519">
        <f t="shared" si="29"/>
        <v>21527.28947368421</v>
      </c>
      <c r="F493" s="477">
        <f t="shared" si="24"/>
        <v>86109.157894737495</v>
      </c>
      <c r="G493" s="954">
        <f t="shared" si="26"/>
        <v>32288.765199604532</v>
      </c>
      <c r="H493" s="957">
        <f t="shared" si="27"/>
        <v>32288.765199604532</v>
      </c>
      <c r="I493" s="516">
        <f t="shared" si="28"/>
        <v>0</v>
      </c>
      <c r="J493" s="516"/>
      <c r="K493" s="652"/>
      <c r="L493" s="522"/>
      <c r="M493" s="652"/>
      <c r="N493" s="522"/>
      <c r="O493" s="522"/>
    </row>
    <row r="494" spans="3:15">
      <c r="C494" s="512">
        <f>IF(D453="","-",+C493+1)</f>
        <v>2048</v>
      </c>
      <c r="D494" s="477">
        <f t="shared" si="25"/>
        <v>86109.157894737495</v>
      </c>
      <c r="E494" s="519">
        <f t="shared" si="29"/>
        <v>21527.28947368421</v>
      </c>
      <c r="F494" s="477">
        <f t="shared" si="24"/>
        <v>64581.868421053281</v>
      </c>
      <c r="G494" s="954">
        <f t="shared" si="26"/>
        <v>29897.326149400029</v>
      </c>
      <c r="H494" s="957">
        <f t="shared" si="27"/>
        <v>29897.326149400029</v>
      </c>
      <c r="I494" s="516">
        <f t="shared" si="28"/>
        <v>0</v>
      </c>
      <c r="J494" s="516"/>
      <c r="K494" s="652"/>
      <c r="L494" s="522"/>
      <c r="M494" s="652"/>
      <c r="N494" s="522"/>
      <c r="O494" s="522"/>
    </row>
    <row r="495" spans="3:15">
      <c r="C495" s="512">
        <f>IF(D453="","-",+C494+1)</f>
        <v>2049</v>
      </c>
      <c r="D495" s="477">
        <f t="shared" si="25"/>
        <v>64581.868421053281</v>
      </c>
      <c r="E495" s="519">
        <f t="shared" si="29"/>
        <v>21527.28947368421</v>
      </c>
      <c r="F495" s="477">
        <f t="shared" si="24"/>
        <v>43054.578947369067</v>
      </c>
      <c r="G495" s="954">
        <f t="shared" si="26"/>
        <v>27505.88709919553</v>
      </c>
      <c r="H495" s="957">
        <f t="shared" si="27"/>
        <v>27505.88709919553</v>
      </c>
      <c r="I495" s="516">
        <f t="shared" si="28"/>
        <v>0</v>
      </c>
      <c r="J495" s="516"/>
      <c r="K495" s="652"/>
      <c r="L495" s="522"/>
      <c r="M495" s="652"/>
      <c r="N495" s="522"/>
      <c r="O495" s="522"/>
    </row>
    <row r="496" spans="3:15">
      <c r="C496" s="512">
        <f>IF(D453="","-",+C495+1)</f>
        <v>2050</v>
      </c>
      <c r="D496" s="477">
        <f t="shared" si="25"/>
        <v>43054.578947369067</v>
      </c>
      <c r="E496" s="519">
        <f t="shared" si="29"/>
        <v>21527.28947368421</v>
      </c>
      <c r="F496" s="477">
        <f t="shared" si="24"/>
        <v>21527.289473684858</v>
      </c>
      <c r="G496" s="954">
        <f t="shared" si="26"/>
        <v>25114.448048991031</v>
      </c>
      <c r="H496" s="957">
        <f t="shared" si="27"/>
        <v>25114.448048991031</v>
      </c>
      <c r="I496" s="516">
        <f t="shared" si="28"/>
        <v>0</v>
      </c>
      <c r="J496" s="516"/>
      <c r="K496" s="652"/>
      <c r="L496" s="522"/>
      <c r="M496" s="652"/>
      <c r="N496" s="522"/>
      <c r="O496" s="522"/>
    </row>
    <row r="497" spans="3:15">
      <c r="C497" s="512">
        <f>IF(D453="","-",+C496+1)</f>
        <v>2051</v>
      </c>
      <c r="D497" s="477">
        <f t="shared" si="25"/>
        <v>21527.289473684858</v>
      </c>
      <c r="E497" s="519">
        <f t="shared" si="29"/>
        <v>21527.28947368421</v>
      </c>
      <c r="F497" s="477">
        <f t="shared" si="24"/>
        <v>6.4756022766232491E-10</v>
      </c>
      <c r="G497" s="954">
        <f t="shared" si="26"/>
        <v>22723.008998786532</v>
      </c>
      <c r="H497" s="957">
        <f t="shared" si="27"/>
        <v>22723.008998786532</v>
      </c>
      <c r="I497" s="516">
        <f t="shared" si="28"/>
        <v>0</v>
      </c>
      <c r="J497" s="516"/>
      <c r="K497" s="652"/>
      <c r="L497" s="522"/>
      <c r="M497" s="652"/>
      <c r="N497" s="522"/>
      <c r="O497" s="522"/>
    </row>
    <row r="498" spans="3:15">
      <c r="C498" s="512">
        <f>IF(D453="","-",+C497+1)</f>
        <v>2052</v>
      </c>
      <c r="D498" s="477">
        <f t="shared" si="25"/>
        <v>6.4756022766232491E-10</v>
      </c>
      <c r="E498" s="519">
        <f t="shared" si="29"/>
        <v>6.4756022766232491E-10</v>
      </c>
      <c r="F498" s="477">
        <f t="shared" si="24"/>
        <v>0</v>
      </c>
      <c r="G498" s="954">
        <f t="shared" si="26"/>
        <v>6.8352854633254273E-10</v>
      </c>
      <c r="H498" s="957">
        <f t="shared" si="27"/>
        <v>6.8352854633254273E-10</v>
      </c>
      <c r="I498" s="516">
        <f t="shared" si="28"/>
        <v>0</v>
      </c>
      <c r="J498" s="516"/>
      <c r="K498" s="652"/>
      <c r="L498" s="522"/>
      <c r="M498" s="652"/>
      <c r="N498" s="522"/>
      <c r="O498" s="522"/>
    </row>
    <row r="499" spans="3:15">
      <c r="C499" s="512">
        <f>IF(D453="","-",+C498+1)</f>
        <v>2053</v>
      </c>
      <c r="D499" s="477">
        <f t="shared" si="25"/>
        <v>0</v>
      </c>
      <c r="E499" s="519">
        <f t="shared" si="29"/>
        <v>0</v>
      </c>
      <c r="F499" s="477">
        <f t="shared" si="24"/>
        <v>0</v>
      </c>
      <c r="G499" s="954">
        <f t="shared" si="26"/>
        <v>0</v>
      </c>
      <c r="H499" s="957">
        <f t="shared" si="27"/>
        <v>0</v>
      </c>
      <c r="I499" s="516">
        <f t="shared" si="28"/>
        <v>0</v>
      </c>
      <c r="J499" s="516"/>
      <c r="K499" s="652"/>
      <c r="L499" s="522"/>
      <c r="M499" s="652"/>
      <c r="N499" s="522"/>
      <c r="O499" s="522"/>
    </row>
    <row r="500" spans="3:15">
      <c r="C500" s="512">
        <f>IF(D453="","-",+C499+1)</f>
        <v>2054</v>
      </c>
      <c r="D500" s="477">
        <f t="shared" si="25"/>
        <v>0</v>
      </c>
      <c r="E500" s="519">
        <f t="shared" si="29"/>
        <v>0</v>
      </c>
      <c r="F500" s="477">
        <f t="shared" si="24"/>
        <v>0</v>
      </c>
      <c r="G500" s="954">
        <f t="shared" si="26"/>
        <v>0</v>
      </c>
      <c r="H500" s="957">
        <f t="shared" si="27"/>
        <v>0</v>
      </c>
      <c r="I500" s="516">
        <f t="shared" si="28"/>
        <v>0</v>
      </c>
      <c r="J500" s="516"/>
      <c r="K500" s="652"/>
      <c r="L500" s="522"/>
      <c r="M500" s="652"/>
      <c r="N500" s="522"/>
      <c r="O500" s="522"/>
    </row>
    <row r="501" spans="3:15">
      <c r="C501" s="512">
        <f>IF(D453="","-",+C500+1)</f>
        <v>2055</v>
      </c>
      <c r="D501" s="477">
        <f t="shared" si="25"/>
        <v>0</v>
      </c>
      <c r="E501" s="519">
        <f t="shared" si="29"/>
        <v>0</v>
      </c>
      <c r="F501" s="477">
        <f t="shared" si="24"/>
        <v>0</v>
      </c>
      <c r="G501" s="954">
        <f t="shared" si="26"/>
        <v>0</v>
      </c>
      <c r="H501" s="957">
        <f t="shared" si="27"/>
        <v>0</v>
      </c>
      <c r="I501" s="516">
        <f t="shared" si="28"/>
        <v>0</v>
      </c>
      <c r="J501" s="516"/>
      <c r="K501" s="652"/>
      <c r="L501" s="522"/>
      <c r="M501" s="652"/>
      <c r="N501" s="522"/>
      <c r="O501" s="522"/>
    </row>
    <row r="502" spans="3:15">
      <c r="C502" s="512">
        <f>IF(D453="","-",+C501+1)</f>
        <v>2056</v>
      </c>
      <c r="D502" s="477">
        <f t="shared" si="25"/>
        <v>0</v>
      </c>
      <c r="E502" s="519">
        <f t="shared" si="29"/>
        <v>0</v>
      </c>
      <c r="F502" s="477">
        <f t="shared" si="24"/>
        <v>0</v>
      </c>
      <c r="G502" s="954">
        <f t="shared" si="26"/>
        <v>0</v>
      </c>
      <c r="H502" s="957">
        <f t="shared" si="27"/>
        <v>0</v>
      </c>
      <c r="I502" s="516">
        <f t="shared" si="28"/>
        <v>0</v>
      </c>
      <c r="J502" s="516"/>
      <c r="K502" s="652"/>
      <c r="L502" s="522"/>
      <c r="M502" s="652"/>
      <c r="N502" s="522"/>
      <c r="O502" s="522"/>
    </row>
    <row r="503" spans="3:15">
      <c r="C503" s="512">
        <f>IF(D453="","-",+C502+1)</f>
        <v>2057</v>
      </c>
      <c r="D503" s="477">
        <f t="shared" si="25"/>
        <v>0</v>
      </c>
      <c r="E503" s="519">
        <f t="shared" si="29"/>
        <v>0</v>
      </c>
      <c r="F503" s="477">
        <f t="shared" si="24"/>
        <v>0</v>
      </c>
      <c r="G503" s="954">
        <f t="shared" si="26"/>
        <v>0</v>
      </c>
      <c r="H503" s="957">
        <f t="shared" si="27"/>
        <v>0</v>
      </c>
      <c r="I503" s="516">
        <f t="shared" si="28"/>
        <v>0</v>
      </c>
      <c r="J503" s="516"/>
      <c r="K503" s="652"/>
      <c r="L503" s="522"/>
      <c r="M503" s="652"/>
      <c r="N503" s="522"/>
      <c r="O503" s="522"/>
    </row>
    <row r="504" spans="3:15">
      <c r="C504" s="512">
        <f>IF(D453="","-",+C503+1)</f>
        <v>2058</v>
      </c>
      <c r="D504" s="477">
        <f t="shared" si="25"/>
        <v>0</v>
      </c>
      <c r="E504" s="519">
        <f t="shared" si="29"/>
        <v>0</v>
      </c>
      <c r="F504" s="477">
        <f t="shared" si="24"/>
        <v>0</v>
      </c>
      <c r="G504" s="954">
        <f t="shared" si="26"/>
        <v>0</v>
      </c>
      <c r="H504" s="957">
        <f t="shared" si="27"/>
        <v>0</v>
      </c>
      <c r="I504" s="516">
        <f t="shared" si="28"/>
        <v>0</v>
      </c>
      <c r="J504" s="516"/>
      <c r="K504" s="652"/>
      <c r="L504" s="522"/>
      <c r="M504" s="652"/>
      <c r="N504" s="522"/>
      <c r="O504" s="522"/>
    </row>
    <row r="505" spans="3:15">
      <c r="C505" s="512">
        <f>IF(D453="","-",+C504+1)</f>
        <v>2059</v>
      </c>
      <c r="D505" s="477">
        <f t="shared" si="25"/>
        <v>0</v>
      </c>
      <c r="E505" s="519">
        <f t="shared" si="29"/>
        <v>0</v>
      </c>
      <c r="F505" s="477">
        <f t="shared" si="24"/>
        <v>0</v>
      </c>
      <c r="G505" s="954">
        <f t="shared" si="26"/>
        <v>0</v>
      </c>
      <c r="H505" s="957">
        <f t="shared" si="27"/>
        <v>0</v>
      </c>
      <c r="I505" s="516">
        <f t="shared" si="28"/>
        <v>0</v>
      </c>
      <c r="J505" s="516"/>
      <c r="K505" s="652"/>
      <c r="L505" s="522"/>
      <c r="M505" s="652"/>
      <c r="N505" s="522"/>
      <c r="O505" s="522"/>
    </row>
    <row r="506" spans="3:15">
      <c r="C506" s="512">
        <f>IF(D453="","-",+C505+1)</f>
        <v>2060</v>
      </c>
      <c r="D506" s="477">
        <f t="shared" si="25"/>
        <v>0</v>
      </c>
      <c r="E506" s="519">
        <f t="shared" si="29"/>
        <v>0</v>
      </c>
      <c r="F506" s="477">
        <f t="shared" si="24"/>
        <v>0</v>
      </c>
      <c r="G506" s="954">
        <f t="shared" si="26"/>
        <v>0</v>
      </c>
      <c r="H506" s="957">
        <f t="shared" si="27"/>
        <v>0</v>
      </c>
      <c r="I506" s="516">
        <f t="shared" si="28"/>
        <v>0</v>
      </c>
      <c r="J506" s="516"/>
      <c r="K506" s="652"/>
      <c r="L506" s="522"/>
      <c r="M506" s="652"/>
      <c r="N506" s="522"/>
      <c r="O506" s="522"/>
    </row>
    <row r="507" spans="3:15">
      <c r="C507" s="512">
        <f>IF(D453="","-",+C506+1)</f>
        <v>2061</v>
      </c>
      <c r="D507" s="477">
        <f t="shared" si="25"/>
        <v>0</v>
      </c>
      <c r="E507" s="519">
        <f t="shared" si="29"/>
        <v>0</v>
      </c>
      <c r="F507" s="477">
        <f t="shared" si="24"/>
        <v>0</v>
      </c>
      <c r="G507" s="954">
        <f t="shared" si="26"/>
        <v>0</v>
      </c>
      <c r="H507" s="957">
        <f t="shared" si="27"/>
        <v>0</v>
      </c>
      <c r="I507" s="516">
        <f t="shared" si="28"/>
        <v>0</v>
      </c>
      <c r="J507" s="516"/>
      <c r="K507" s="652"/>
      <c r="L507" s="522"/>
      <c r="M507" s="652"/>
      <c r="N507" s="522"/>
      <c r="O507" s="522"/>
    </row>
    <row r="508" spans="3:15">
      <c r="C508" s="512">
        <f>IF(D453="","-",+C507+1)</f>
        <v>2062</v>
      </c>
      <c r="D508" s="477">
        <f t="shared" si="25"/>
        <v>0</v>
      </c>
      <c r="E508" s="519">
        <f t="shared" si="29"/>
        <v>0</v>
      </c>
      <c r="F508" s="477">
        <f t="shared" si="24"/>
        <v>0</v>
      </c>
      <c r="G508" s="954">
        <f t="shared" si="26"/>
        <v>0</v>
      </c>
      <c r="H508" s="957">
        <f t="shared" si="27"/>
        <v>0</v>
      </c>
      <c r="I508" s="516">
        <f t="shared" si="28"/>
        <v>0</v>
      </c>
      <c r="J508" s="516"/>
      <c r="K508" s="652"/>
      <c r="L508" s="522"/>
      <c r="M508" s="652"/>
      <c r="N508" s="522"/>
      <c r="O508" s="522"/>
    </row>
    <row r="509" spans="3:15">
      <c r="C509" s="512">
        <f>IF(D453="","-",+C508+1)</f>
        <v>2063</v>
      </c>
      <c r="D509" s="477">
        <f t="shared" si="25"/>
        <v>0</v>
      </c>
      <c r="E509" s="519">
        <f t="shared" si="29"/>
        <v>0</v>
      </c>
      <c r="F509" s="477">
        <f t="shared" si="24"/>
        <v>0</v>
      </c>
      <c r="G509" s="954">
        <f t="shared" si="26"/>
        <v>0</v>
      </c>
      <c r="H509" s="957">
        <f t="shared" si="27"/>
        <v>0</v>
      </c>
      <c r="I509" s="516">
        <f t="shared" si="28"/>
        <v>0</v>
      </c>
      <c r="J509" s="516"/>
      <c r="K509" s="652"/>
      <c r="L509" s="522"/>
      <c r="M509" s="652"/>
      <c r="N509" s="522"/>
      <c r="O509" s="522"/>
    </row>
    <row r="510" spans="3:15">
      <c r="C510" s="512">
        <f>IF(D453="","-",+C509+1)</f>
        <v>2064</v>
      </c>
      <c r="D510" s="477">
        <f t="shared" si="25"/>
        <v>0</v>
      </c>
      <c r="E510" s="519">
        <f t="shared" si="29"/>
        <v>0</v>
      </c>
      <c r="F510" s="477">
        <f t="shared" si="24"/>
        <v>0</v>
      </c>
      <c r="G510" s="954">
        <f t="shared" si="26"/>
        <v>0</v>
      </c>
      <c r="H510" s="957">
        <f t="shared" si="27"/>
        <v>0</v>
      </c>
      <c r="I510" s="516">
        <f t="shared" si="28"/>
        <v>0</v>
      </c>
      <c r="J510" s="516"/>
      <c r="K510" s="652"/>
      <c r="L510" s="522"/>
      <c r="M510" s="652"/>
      <c r="N510" s="522"/>
      <c r="O510" s="522"/>
    </row>
    <row r="511" spans="3:15">
      <c r="C511" s="512">
        <f>IF(D453="","-",+C510+1)</f>
        <v>2065</v>
      </c>
      <c r="D511" s="477">
        <f t="shared" si="25"/>
        <v>0</v>
      </c>
      <c r="E511" s="519">
        <f t="shared" si="29"/>
        <v>0</v>
      </c>
      <c r="F511" s="477">
        <f t="shared" si="24"/>
        <v>0</v>
      </c>
      <c r="G511" s="954">
        <f t="shared" si="26"/>
        <v>0</v>
      </c>
      <c r="H511" s="957">
        <f t="shared" si="27"/>
        <v>0</v>
      </c>
      <c r="I511" s="516">
        <f t="shared" si="28"/>
        <v>0</v>
      </c>
      <c r="J511" s="516"/>
      <c r="K511" s="652"/>
      <c r="L511" s="522"/>
      <c r="M511" s="652"/>
      <c r="N511" s="522"/>
      <c r="O511" s="522"/>
    </row>
    <row r="512" spans="3:15">
      <c r="C512" s="512">
        <f>IF(D453="","-",+C511+1)</f>
        <v>2066</v>
      </c>
      <c r="D512" s="477">
        <f t="shared" si="25"/>
        <v>0</v>
      </c>
      <c r="E512" s="519">
        <f t="shared" si="29"/>
        <v>0</v>
      </c>
      <c r="F512" s="477">
        <f t="shared" si="24"/>
        <v>0</v>
      </c>
      <c r="G512" s="954">
        <f t="shared" si="26"/>
        <v>0</v>
      </c>
      <c r="H512" s="957">
        <f t="shared" si="27"/>
        <v>0</v>
      </c>
      <c r="I512" s="516">
        <f t="shared" si="28"/>
        <v>0</v>
      </c>
      <c r="J512" s="516"/>
      <c r="K512" s="652"/>
      <c r="L512" s="522"/>
      <c r="M512" s="652"/>
      <c r="N512" s="522"/>
      <c r="O512" s="522"/>
    </row>
    <row r="513" spans="3:15">
      <c r="C513" s="512">
        <f>IF(D453="","-",+C512+1)</f>
        <v>2067</v>
      </c>
      <c r="D513" s="477">
        <f t="shared" si="25"/>
        <v>0</v>
      </c>
      <c r="E513" s="519">
        <f t="shared" si="29"/>
        <v>0</v>
      </c>
      <c r="F513" s="477">
        <f t="shared" si="24"/>
        <v>0</v>
      </c>
      <c r="G513" s="954">
        <f t="shared" si="26"/>
        <v>0</v>
      </c>
      <c r="H513" s="957">
        <f t="shared" si="27"/>
        <v>0</v>
      </c>
      <c r="I513" s="516">
        <f t="shared" si="28"/>
        <v>0</v>
      </c>
      <c r="J513" s="516"/>
      <c r="K513" s="652"/>
      <c r="L513" s="522"/>
      <c r="M513" s="652"/>
      <c r="N513" s="522"/>
      <c r="O513" s="522"/>
    </row>
    <row r="514" spans="3:15">
      <c r="C514" s="512">
        <f>IF(D453="","-",+C513+1)</f>
        <v>2068</v>
      </c>
      <c r="D514" s="477">
        <f t="shared" si="25"/>
        <v>0</v>
      </c>
      <c r="E514" s="519">
        <f t="shared" si="29"/>
        <v>0</v>
      </c>
      <c r="F514" s="477">
        <f t="shared" si="24"/>
        <v>0</v>
      </c>
      <c r="G514" s="954">
        <f t="shared" si="26"/>
        <v>0</v>
      </c>
      <c r="H514" s="957">
        <f t="shared" si="27"/>
        <v>0</v>
      </c>
      <c r="I514" s="516">
        <f t="shared" si="28"/>
        <v>0</v>
      </c>
      <c r="J514" s="516"/>
      <c r="K514" s="652"/>
      <c r="L514" s="522"/>
      <c r="M514" s="652"/>
      <c r="N514" s="522"/>
      <c r="O514" s="522"/>
    </row>
    <row r="515" spans="3:15">
      <c r="C515" s="512">
        <f>IF(D453="","-",+C514+1)</f>
        <v>2069</v>
      </c>
      <c r="D515" s="477">
        <f t="shared" si="25"/>
        <v>0</v>
      </c>
      <c r="E515" s="519">
        <f t="shared" si="29"/>
        <v>0</v>
      </c>
      <c r="F515" s="477">
        <f t="shared" si="24"/>
        <v>0</v>
      </c>
      <c r="G515" s="954">
        <f t="shared" si="26"/>
        <v>0</v>
      </c>
      <c r="H515" s="957">
        <f t="shared" si="27"/>
        <v>0</v>
      </c>
      <c r="I515" s="516">
        <f t="shared" si="28"/>
        <v>0</v>
      </c>
      <c r="J515" s="516"/>
      <c r="K515" s="652"/>
      <c r="L515" s="522"/>
      <c r="M515" s="652"/>
      <c r="N515" s="522"/>
      <c r="O515" s="522"/>
    </row>
    <row r="516" spans="3:15">
      <c r="C516" s="512">
        <f>IF(D453="","-",+C515+1)</f>
        <v>2070</v>
      </c>
      <c r="D516" s="477">
        <f t="shared" si="25"/>
        <v>0</v>
      </c>
      <c r="E516" s="519">
        <f t="shared" si="29"/>
        <v>0</v>
      </c>
      <c r="F516" s="477">
        <f t="shared" si="24"/>
        <v>0</v>
      </c>
      <c r="G516" s="954">
        <f t="shared" si="26"/>
        <v>0</v>
      </c>
      <c r="H516" s="957">
        <f t="shared" si="27"/>
        <v>0</v>
      </c>
      <c r="I516" s="516">
        <f t="shared" si="28"/>
        <v>0</v>
      </c>
      <c r="J516" s="516"/>
      <c r="K516" s="652"/>
      <c r="L516" s="522"/>
      <c r="M516" s="652"/>
      <c r="N516" s="522"/>
      <c r="O516" s="522"/>
    </row>
    <row r="517" spans="3:15">
      <c r="C517" s="512">
        <f>IF(D453="","-",+C516+1)</f>
        <v>2071</v>
      </c>
      <c r="D517" s="477">
        <f t="shared" si="25"/>
        <v>0</v>
      </c>
      <c r="E517" s="519">
        <f t="shared" si="29"/>
        <v>0</v>
      </c>
      <c r="F517" s="477">
        <f t="shared" si="24"/>
        <v>0</v>
      </c>
      <c r="G517" s="954">
        <f t="shared" si="26"/>
        <v>0</v>
      </c>
      <c r="H517" s="957">
        <f t="shared" si="27"/>
        <v>0</v>
      </c>
      <c r="I517" s="516">
        <f t="shared" si="28"/>
        <v>0</v>
      </c>
      <c r="J517" s="516"/>
      <c r="K517" s="652"/>
      <c r="L517" s="522"/>
      <c r="M517" s="652"/>
      <c r="N517" s="522"/>
      <c r="O517" s="522"/>
    </row>
    <row r="518" spans="3:15" ht="13.5" thickBot="1">
      <c r="C518" s="523">
        <f>IF(D453="","-",+C517+1)</f>
        <v>2072</v>
      </c>
      <c r="D518" s="524">
        <f t="shared" si="25"/>
        <v>0</v>
      </c>
      <c r="E518" s="525">
        <f t="shared" si="29"/>
        <v>0</v>
      </c>
      <c r="F518" s="524">
        <f t="shared" si="24"/>
        <v>0</v>
      </c>
      <c r="G518" s="966">
        <f t="shared" si="26"/>
        <v>0</v>
      </c>
      <c r="H518" s="966">
        <f t="shared" si="27"/>
        <v>0</v>
      </c>
      <c r="I518" s="527">
        <f t="shared" si="28"/>
        <v>0</v>
      </c>
      <c r="J518" s="516"/>
      <c r="K518" s="653"/>
      <c r="L518" s="529"/>
      <c r="M518" s="653"/>
      <c r="N518" s="529"/>
      <c r="O518" s="529"/>
    </row>
    <row r="519" spans="3:15">
      <c r="C519" s="477" t="s">
        <v>289</v>
      </c>
      <c r="D519" s="936"/>
      <c r="E519" s="936">
        <f>SUM(E459:E518)</f>
        <v>818037</v>
      </c>
      <c r="F519" s="936"/>
      <c r="G519" s="936">
        <f>SUM(G459:G518)</f>
        <v>2635530.6781554227</v>
      </c>
      <c r="H519" s="936">
        <f>SUM(H459:H518)</f>
        <v>2635530.6781554227</v>
      </c>
      <c r="I519" s="936">
        <f>SUM(I459:I518)</f>
        <v>0</v>
      </c>
      <c r="J519" s="936"/>
      <c r="K519" s="936"/>
      <c r="L519" s="936"/>
      <c r="M519" s="936"/>
      <c r="N519" s="936"/>
      <c r="O519" s="4"/>
    </row>
    <row r="520" spans="3:15">
      <c r="D520" s="82"/>
      <c r="E520" s="4"/>
      <c r="F520" s="4"/>
      <c r="G520" s="4"/>
      <c r="H520" s="935"/>
      <c r="I520" s="935"/>
      <c r="J520" s="936"/>
      <c r="K520" s="935"/>
      <c r="L520" s="935"/>
      <c r="M520" s="935"/>
      <c r="N520" s="935"/>
      <c r="O520" s="4"/>
    </row>
    <row r="521" spans="3:15">
      <c r="C521" s="561" t="s">
        <v>931</v>
      </c>
      <c r="D521" s="82"/>
      <c r="E521" s="4"/>
      <c r="F521" s="4"/>
      <c r="G521" s="4"/>
      <c r="H521" s="935"/>
      <c r="I521" s="935"/>
      <c r="J521" s="936"/>
      <c r="K521" s="935"/>
      <c r="L521" s="935"/>
      <c r="M521" s="935"/>
      <c r="N521" s="935"/>
      <c r="O521" s="4"/>
    </row>
    <row r="522" spans="3:15">
      <c r="D522" s="82"/>
      <c r="E522" s="4"/>
      <c r="F522" s="4"/>
      <c r="G522" s="4"/>
      <c r="H522" s="935"/>
      <c r="I522" s="935"/>
      <c r="J522" s="936"/>
      <c r="K522" s="935"/>
      <c r="L522" s="935"/>
      <c r="M522" s="935"/>
      <c r="N522" s="935"/>
      <c r="O522" s="4"/>
    </row>
    <row r="523" spans="3:15">
      <c r="C523" s="489" t="s">
        <v>932</v>
      </c>
      <c r="D523" s="477"/>
      <c r="E523" s="477"/>
      <c r="F523" s="477"/>
      <c r="G523" s="936"/>
      <c r="H523" s="936"/>
      <c r="I523" s="479"/>
      <c r="J523" s="479"/>
      <c r="K523" s="479"/>
      <c r="L523" s="479"/>
      <c r="M523" s="479"/>
      <c r="N523" s="479"/>
      <c r="O523" s="4"/>
    </row>
    <row r="524" spans="3:15">
      <c r="C524" s="478" t="s">
        <v>477</v>
      </c>
      <c r="D524" s="477"/>
      <c r="E524" s="477"/>
      <c r="F524" s="477"/>
      <c r="G524" s="936"/>
      <c r="H524" s="936"/>
      <c r="I524" s="479"/>
      <c r="J524" s="479"/>
      <c r="K524" s="479"/>
      <c r="L524" s="479"/>
      <c r="M524" s="479"/>
      <c r="N524" s="479"/>
      <c r="O524" s="4"/>
    </row>
    <row r="525" spans="3:15">
      <c r="C525" s="478" t="s">
        <v>290</v>
      </c>
      <c r="D525" s="477"/>
      <c r="E525" s="477"/>
      <c r="F525" s="477"/>
      <c r="G525" s="936"/>
      <c r="H525" s="936"/>
      <c r="I525" s="479"/>
      <c r="J525" s="479"/>
      <c r="K525" s="479"/>
      <c r="L525" s="479"/>
      <c r="M525" s="479"/>
      <c r="N525" s="479"/>
      <c r="O525" s="4"/>
    </row>
    <row r="526" spans="3:15">
      <c r="C526" s="478"/>
      <c r="D526" s="477"/>
      <c r="E526" s="477"/>
      <c r="F526" s="477"/>
      <c r="G526" s="936"/>
      <c r="H526" s="936"/>
      <c r="I526" s="479"/>
      <c r="J526" s="479"/>
      <c r="K526" s="479"/>
      <c r="L526" s="479"/>
      <c r="M526" s="479"/>
      <c r="N526" s="479"/>
      <c r="O526" s="4"/>
    </row>
    <row r="527" spans="3:15">
      <c r="C527" s="1273" t="s">
        <v>461</v>
      </c>
      <c r="D527" s="1273"/>
      <c r="E527" s="1273"/>
      <c r="F527" s="1273"/>
      <c r="G527" s="1273"/>
      <c r="H527" s="1273"/>
      <c r="I527" s="1273"/>
      <c r="J527" s="1273"/>
      <c r="K527" s="1273"/>
      <c r="L527" s="1273"/>
      <c r="M527" s="1273"/>
      <c r="N527" s="1273"/>
      <c r="O527" s="1273"/>
    </row>
    <row r="528" spans="3:15">
      <c r="C528" s="1273"/>
      <c r="D528" s="1273"/>
      <c r="E528" s="1273"/>
      <c r="F528" s="1273"/>
      <c r="G528" s="1273"/>
      <c r="H528" s="1273"/>
      <c r="I528" s="1273"/>
      <c r="J528" s="1273"/>
      <c r="K528" s="1273"/>
      <c r="L528" s="1273"/>
      <c r="M528" s="1273"/>
      <c r="N528" s="1273"/>
      <c r="O528" s="1273"/>
    </row>
    <row r="529" spans="1:16" ht="20.25">
      <c r="A529" s="419" t="s">
        <v>928</v>
      </c>
      <c r="B529" s="4"/>
      <c r="C529" s="4"/>
      <c r="D529" s="82"/>
      <c r="E529" s="4"/>
      <c r="F529" s="84"/>
      <c r="G529" s="4"/>
      <c r="H529" s="935"/>
      <c r="K529" s="11"/>
      <c r="L529" s="11"/>
      <c r="M529" s="11"/>
      <c r="N529" s="11" t="str">
        <f>"Page "&amp;P529&amp;" of "</f>
        <v xml:space="preserve">Page 7 of </v>
      </c>
      <c r="O529" s="420">
        <f>COUNT(P$6:P$59527)</f>
        <v>9</v>
      </c>
      <c r="P529" s="4">
        <v>7</v>
      </c>
    </row>
    <row r="530" spans="1:16">
      <c r="B530" s="4"/>
      <c r="C530" s="4"/>
      <c r="D530" s="82"/>
      <c r="E530" s="4"/>
      <c r="F530" s="4"/>
      <c r="G530" s="4"/>
      <c r="H530" s="935"/>
      <c r="I530" s="4"/>
      <c r="J530" s="4"/>
      <c r="K530" s="4"/>
      <c r="L530" s="4"/>
      <c r="M530" s="4"/>
      <c r="N530" s="4"/>
      <c r="O530" s="4"/>
    </row>
    <row r="531" spans="1:16" ht="18">
      <c r="B531" s="421" t="s">
        <v>175</v>
      </c>
      <c r="C531" s="480" t="s">
        <v>291</v>
      </c>
      <c r="D531" s="82"/>
      <c r="E531" s="4"/>
      <c r="F531" s="4"/>
      <c r="G531" s="4"/>
      <c r="H531" s="935"/>
      <c r="I531" s="935"/>
      <c r="J531" s="936"/>
      <c r="K531" s="935"/>
      <c r="L531" s="935"/>
      <c r="M531" s="935"/>
      <c r="N531" s="935"/>
      <c r="O531" s="4"/>
    </row>
    <row r="532" spans="1:16" ht="18.75">
      <c r="B532" s="421"/>
      <c r="C532" s="13"/>
      <c r="D532" s="82"/>
      <c r="E532" s="4"/>
      <c r="F532" s="4"/>
      <c r="G532" s="4"/>
      <c r="H532" s="935"/>
      <c r="I532" s="935"/>
      <c r="J532" s="936"/>
      <c r="K532" s="935"/>
      <c r="L532" s="935"/>
      <c r="M532" s="935"/>
      <c r="N532" s="935"/>
      <c r="O532" s="4"/>
    </row>
    <row r="533" spans="1:16" ht="18.75">
      <c r="B533" s="421"/>
      <c r="C533" s="13" t="s">
        <v>292</v>
      </c>
      <c r="D533" s="82"/>
      <c r="E533" s="4"/>
      <c r="F533" s="4"/>
      <c r="G533" s="4"/>
      <c r="H533" s="935"/>
      <c r="I533" s="935"/>
      <c r="J533" s="936"/>
      <c r="K533" s="935"/>
      <c r="L533" s="935"/>
      <c r="M533" s="935"/>
      <c r="N533" s="935"/>
      <c r="O533" s="4"/>
    </row>
    <row r="534" spans="1:16" ht="15.75" thickBot="1">
      <c r="C534" s="254"/>
      <c r="D534" s="82"/>
      <c r="E534" s="4"/>
      <c r="F534" s="4"/>
      <c r="G534" s="4"/>
      <c r="H534" s="935"/>
      <c r="I534" s="935"/>
      <c r="J534" s="936"/>
      <c r="K534" s="935"/>
      <c r="L534" s="935"/>
      <c r="M534" s="935"/>
      <c r="N534" s="935"/>
      <c r="O534" s="4"/>
    </row>
    <row r="535" spans="1:16" ht="15.75">
      <c r="C535" s="422" t="s">
        <v>293</v>
      </c>
      <c r="D535" s="82"/>
      <c r="E535" s="4"/>
      <c r="F535" s="4"/>
      <c r="G535" s="937"/>
      <c r="H535" s="4" t="s">
        <v>272</v>
      </c>
      <c r="I535" s="4"/>
      <c r="J535" s="4"/>
      <c r="K535" s="481" t="s">
        <v>297</v>
      </c>
      <c r="L535" s="482"/>
      <c r="M535" s="483"/>
      <c r="N535" s="938">
        <f>VLOOKUP(I541,C548:O607,5)</f>
        <v>1315856.2802832802</v>
      </c>
      <c r="O535" s="4"/>
    </row>
    <row r="536" spans="1:16" ht="15.75">
      <c r="C536" s="422"/>
      <c r="D536" s="82"/>
      <c r="E536" s="4"/>
      <c r="F536" s="4"/>
      <c r="G536" s="4"/>
      <c r="H536" s="939"/>
      <c r="I536" s="939"/>
      <c r="J536" s="940"/>
      <c r="K536" s="486" t="s">
        <v>298</v>
      </c>
      <c r="L536" s="941"/>
      <c r="M536" s="4"/>
      <c r="N536" s="942">
        <f>VLOOKUP(I541,C548:O607,6)</f>
        <v>1315856.2802832802</v>
      </c>
      <c r="O536" s="4"/>
    </row>
    <row r="537" spans="1:16" ht="13.5" thickBot="1">
      <c r="C537" s="487" t="s">
        <v>294</v>
      </c>
      <c r="D537" s="1270" t="s">
        <v>937</v>
      </c>
      <c r="E537" s="1271"/>
      <c r="F537" s="1271"/>
      <c r="G537" s="1271"/>
      <c r="H537" s="1271"/>
      <c r="I537" s="1271"/>
      <c r="J537" s="936"/>
      <c r="K537" s="943" t="s">
        <v>451</v>
      </c>
      <c r="L537" s="944"/>
      <c r="M537" s="944"/>
      <c r="N537" s="945">
        <f>+N536-N535</f>
        <v>0</v>
      </c>
      <c r="O537" s="4"/>
    </row>
    <row r="538" spans="1:16">
      <c r="C538" s="489"/>
      <c r="D538" s="1271"/>
      <c r="E538" s="1271"/>
      <c r="F538" s="1271"/>
      <c r="G538" s="1271"/>
      <c r="H538" s="1271"/>
      <c r="I538" s="1271"/>
      <c r="J538" s="936"/>
      <c r="K538" s="935"/>
      <c r="L538" s="935"/>
      <c r="M538" s="935"/>
      <c r="N538" s="935"/>
      <c r="O538" s="4"/>
    </row>
    <row r="539" spans="1:16" ht="13.5" thickBot="1">
      <c r="C539" s="489"/>
      <c r="D539" s="4"/>
      <c r="E539" s="490"/>
      <c r="F539" s="490"/>
      <c r="G539" s="490"/>
      <c r="H539" s="490"/>
      <c r="I539" s="490"/>
      <c r="J539" s="490"/>
      <c r="K539" s="490"/>
      <c r="L539" s="490"/>
      <c r="M539" s="490"/>
      <c r="N539" s="490"/>
      <c r="O539" s="4"/>
    </row>
    <row r="540" spans="1:16" ht="13.5" thickBot="1">
      <c r="C540" s="491" t="s">
        <v>295</v>
      </c>
      <c r="D540" s="492"/>
      <c r="E540" s="492"/>
      <c r="F540" s="492"/>
      <c r="G540" s="492"/>
      <c r="H540" s="492"/>
      <c r="I540" s="493"/>
      <c r="K540" s="4"/>
      <c r="L540" s="4"/>
      <c r="M540" s="4"/>
      <c r="N540" s="4"/>
      <c r="O540" s="4"/>
    </row>
    <row r="541" spans="1:16" ht="15">
      <c r="C541" s="494" t="s">
        <v>273</v>
      </c>
      <c r="D541" s="946">
        <v>10386801</v>
      </c>
      <c r="E541" s="4" t="s">
        <v>274</v>
      </c>
      <c r="G541" s="82"/>
      <c r="H541" s="82"/>
      <c r="I541" s="495">
        <v>2018</v>
      </c>
      <c r="J541" s="138"/>
      <c r="K541" s="1272" t="s">
        <v>460</v>
      </c>
      <c r="L541" s="1272"/>
      <c r="M541" s="1272"/>
      <c r="N541" s="1272"/>
      <c r="O541" s="1272"/>
    </row>
    <row r="542" spans="1:16">
      <c r="C542" s="494" t="s">
        <v>276</v>
      </c>
      <c r="D542" s="647">
        <v>2014</v>
      </c>
      <c r="E542" s="494" t="s">
        <v>277</v>
      </c>
      <c r="F542" s="82"/>
      <c r="H542"/>
      <c r="I542" s="650">
        <f>IF(G535="",0,$F$15)</f>
        <v>0</v>
      </c>
      <c r="J542" s="496"/>
      <c r="K542" s="936" t="s">
        <v>460</v>
      </c>
    </row>
    <row r="543" spans="1:16">
      <c r="C543" s="494" t="s">
        <v>278</v>
      </c>
      <c r="D543" s="946">
        <v>10</v>
      </c>
      <c r="E543" s="494" t="s">
        <v>279</v>
      </c>
      <c r="F543" s="82"/>
      <c r="H543"/>
      <c r="I543" s="497">
        <f>$G$70</f>
        <v>0.11108872081308177</v>
      </c>
      <c r="J543" s="84"/>
      <c r="K543" t="str">
        <f>"          INPUT PROJECTED ARR (WITH &amp; WITHOUT INCENTIVES) FROM EACH PRIOR YEAR"</f>
        <v xml:space="preserve">          INPUT PROJECTED ARR (WITH &amp; WITHOUT INCENTIVES) FROM EACH PRIOR YEAR</v>
      </c>
    </row>
    <row r="544" spans="1:16">
      <c r="C544" s="494" t="s">
        <v>280</v>
      </c>
      <c r="D544" s="498">
        <f>G$79</f>
        <v>38</v>
      </c>
      <c r="E544" s="494" t="s">
        <v>281</v>
      </c>
      <c r="F544" s="82"/>
      <c r="H544"/>
      <c r="I544" s="497">
        <f>IF(G535="",I543,$G$67)</f>
        <v>0.11108872081308177</v>
      </c>
      <c r="J544" s="84"/>
      <c r="K544" t="s">
        <v>358</v>
      </c>
    </row>
    <row r="545" spans="1:15" ht="13.5" thickBot="1">
      <c r="C545" s="494" t="s">
        <v>282</v>
      </c>
      <c r="D545" s="649" t="s">
        <v>930</v>
      </c>
      <c r="E545" s="499" t="s">
        <v>283</v>
      </c>
      <c r="F545" s="500"/>
      <c r="G545" s="501"/>
      <c r="H545" s="501"/>
      <c r="I545" s="945">
        <f>IF(D541=0,0,D541/D544)</f>
        <v>273336.86842105264</v>
      </c>
      <c r="J545" s="936"/>
      <c r="K545" s="936" t="s">
        <v>364</v>
      </c>
      <c r="L545" s="936"/>
      <c r="M545" s="936"/>
      <c r="N545" s="936"/>
      <c r="O545" s="4"/>
    </row>
    <row r="546" spans="1:15" ht="51">
      <c r="A546" s="12"/>
      <c r="B546" s="12"/>
      <c r="C546" s="502" t="s">
        <v>273</v>
      </c>
      <c r="D546" s="947" t="s">
        <v>284</v>
      </c>
      <c r="E546" s="948" t="s">
        <v>285</v>
      </c>
      <c r="F546" s="947" t="s">
        <v>286</v>
      </c>
      <c r="G546" s="948" t="s">
        <v>357</v>
      </c>
      <c r="H546" s="949" t="s">
        <v>357</v>
      </c>
      <c r="I546" s="502" t="s">
        <v>296</v>
      </c>
      <c r="J546" s="506"/>
      <c r="K546" s="948" t="s">
        <v>366</v>
      </c>
      <c r="L546" s="950"/>
      <c r="M546" s="948" t="s">
        <v>366</v>
      </c>
      <c r="N546" s="950"/>
      <c r="O546" s="950"/>
    </row>
    <row r="547" spans="1:15" ht="13.5" thickBot="1">
      <c r="C547" s="507" t="s">
        <v>178</v>
      </c>
      <c r="D547" s="508" t="s">
        <v>179</v>
      </c>
      <c r="E547" s="507" t="s">
        <v>38</v>
      </c>
      <c r="F547" s="508" t="s">
        <v>179</v>
      </c>
      <c r="G547" s="951" t="s">
        <v>299</v>
      </c>
      <c r="H547" s="952" t="s">
        <v>301</v>
      </c>
      <c r="I547" s="507" t="s">
        <v>390</v>
      </c>
      <c r="J547" s="511"/>
      <c r="K547" s="951" t="s">
        <v>288</v>
      </c>
      <c r="L547" s="953"/>
      <c r="M547" s="951" t="s">
        <v>301</v>
      </c>
      <c r="N547" s="953"/>
      <c r="O547" s="953"/>
    </row>
    <row r="548" spans="1:15">
      <c r="C548" s="512">
        <f>IF(D542= "","-",D542)</f>
        <v>2014</v>
      </c>
      <c r="D548" s="477">
        <f>+D541</f>
        <v>10386801</v>
      </c>
      <c r="E548" s="968">
        <f>+I545/12*(12-D543)</f>
        <v>45556.144736842107</v>
      </c>
      <c r="F548" s="477">
        <f t="shared" ref="F548:F607" si="30">+D548-E548</f>
        <v>10341244.855263159</v>
      </c>
      <c r="G548" s="955">
        <f>+$I$543*((D548+F548)/2)+E548</f>
        <v>1196882.1942448849</v>
      </c>
      <c r="H548" s="956">
        <f>+$I$544*((D548+F548)/2)+E548</f>
        <v>1196882.1942448849</v>
      </c>
      <c r="I548" s="516">
        <f>+H548-G548</f>
        <v>0</v>
      </c>
      <c r="J548" s="516"/>
      <c r="K548" s="652">
        <v>0</v>
      </c>
      <c r="L548" s="518"/>
      <c r="M548" s="652">
        <v>0</v>
      </c>
      <c r="N548" s="518"/>
      <c r="O548" s="518"/>
    </row>
    <row r="549" spans="1:15">
      <c r="C549" s="512">
        <f>IF(D542="","-",+C548+1)</f>
        <v>2015</v>
      </c>
      <c r="D549" s="477">
        <f t="shared" ref="D549:D607" si="31">F548</f>
        <v>10341244.855263159</v>
      </c>
      <c r="E549" s="519">
        <f>IF(D549&gt;$I$545,$I$545,D549)</f>
        <v>273336.86842105264</v>
      </c>
      <c r="F549" s="477">
        <f t="shared" si="30"/>
        <v>10067907.986842105</v>
      </c>
      <c r="G549" s="954">
        <f t="shared" ref="G549:G607" si="32">+$I$543*((D549+F549)/2)+E549</f>
        <v>1406950.2094751254</v>
      </c>
      <c r="H549" s="957">
        <f t="shared" ref="H549:H607" si="33">+$I$544*((D549+F549)/2)+E549</f>
        <v>1406950.2094751254</v>
      </c>
      <c r="I549" s="516">
        <f t="shared" ref="I549:I607" si="34">+H549-G549</f>
        <v>0</v>
      </c>
      <c r="J549" s="516"/>
      <c r="K549" s="652">
        <v>248467</v>
      </c>
      <c r="L549" s="522"/>
      <c r="M549" s="652">
        <v>248467</v>
      </c>
      <c r="N549" s="522"/>
      <c r="O549" s="522"/>
    </row>
    <row r="550" spans="1:15">
      <c r="C550" s="512">
        <f>IF(D542="","-",+C549+1)</f>
        <v>2016</v>
      </c>
      <c r="D550" s="477">
        <f t="shared" si="31"/>
        <v>10067907.986842105</v>
      </c>
      <c r="E550" s="519">
        <f t="shared" ref="E550:E607" si="35">IF(D550&gt;$I$545,$I$545,D550)</f>
        <v>273336.86842105264</v>
      </c>
      <c r="F550" s="477">
        <f t="shared" si="30"/>
        <v>9794571.1184210517</v>
      </c>
      <c r="G550" s="954">
        <f t="shared" si="32"/>
        <v>1376585.5664111772</v>
      </c>
      <c r="H550" s="957">
        <f t="shared" si="33"/>
        <v>1376585.5664111772</v>
      </c>
      <c r="I550" s="516">
        <f t="shared" si="34"/>
        <v>0</v>
      </c>
      <c r="J550" s="516"/>
      <c r="K550" s="652">
        <v>562247</v>
      </c>
      <c r="L550" s="522"/>
      <c r="M550" s="652">
        <v>562247</v>
      </c>
      <c r="N550" s="522"/>
      <c r="O550" s="522"/>
    </row>
    <row r="551" spans="1:15">
      <c r="C551" s="512">
        <f>IF(D542="","-",+C550+1)</f>
        <v>2017</v>
      </c>
      <c r="D551" s="477">
        <f t="shared" si="31"/>
        <v>9794571.1184210517</v>
      </c>
      <c r="E551" s="519">
        <f t="shared" si="35"/>
        <v>273336.86842105264</v>
      </c>
      <c r="F551" s="477">
        <f t="shared" si="30"/>
        <v>9521234.2499999981</v>
      </c>
      <c r="G551" s="954">
        <f t="shared" si="32"/>
        <v>1346220.9233472284</v>
      </c>
      <c r="H551" s="957">
        <f t="shared" si="33"/>
        <v>1346220.9233472284</v>
      </c>
      <c r="I551" s="516">
        <f t="shared" si="34"/>
        <v>0</v>
      </c>
      <c r="J551" s="516"/>
      <c r="K551" s="652">
        <v>1427903</v>
      </c>
      <c r="L551" s="522"/>
      <c r="M551" s="652">
        <v>1427903</v>
      </c>
      <c r="N551" s="522"/>
      <c r="O551" s="522"/>
    </row>
    <row r="552" spans="1:15">
      <c r="C552" s="959">
        <f>IF(D542="","-",+C551+1)</f>
        <v>2018</v>
      </c>
      <c r="D552" s="960">
        <f t="shared" si="31"/>
        <v>9521234.2499999981</v>
      </c>
      <c r="E552" s="961">
        <f t="shared" si="35"/>
        <v>273336.86842105264</v>
      </c>
      <c r="F552" s="960">
        <f t="shared" si="30"/>
        <v>9247897.3815789446</v>
      </c>
      <c r="G552" s="962">
        <f t="shared" si="32"/>
        <v>1315856.2802832802</v>
      </c>
      <c r="H552" s="963">
        <f t="shared" si="33"/>
        <v>1315856.2802832802</v>
      </c>
      <c r="I552" s="964">
        <f t="shared" si="34"/>
        <v>0</v>
      </c>
      <c r="J552" s="516"/>
      <c r="K552" s="652"/>
      <c r="L552" s="522"/>
      <c r="M552" s="652"/>
      <c r="N552" s="522"/>
      <c r="O552" s="522"/>
    </row>
    <row r="553" spans="1:15">
      <c r="C553" s="512">
        <f>IF(D542="","-",+C552+1)</f>
        <v>2019</v>
      </c>
      <c r="D553" s="477">
        <f t="shared" si="31"/>
        <v>9247897.3815789446</v>
      </c>
      <c r="E553" s="519">
        <f t="shared" si="35"/>
        <v>273336.86842105264</v>
      </c>
      <c r="F553" s="477">
        <f t="shared" si="30"/>
        <v>8974560.5131578911</v>
      </c>
      <c r="G553" s="954">
        <f t="shared" si="32"/>
        <v>1285491.6372193317</v>
      </c>
      <c r="H553" s="957">
        <f t="shared" si="33"/>
        <v>1285491.6372193317</v>
      </c>
      <c r="I553" s="516">
        <f t="shared" si="34"/>
        <v>0</v>
      </c>
      <c r="J553" s="516"/>
      <c r="K553" s="652"/>
      <c r="L553" s="522"/>
      <c r="M553" s="652"/>
      <c r="N553" s="522"/>
      <c r="O553" s="522"/>
    </row>
    <row r="554" spans="1:15">
      <c r="C554" s="512">
        <f>IF(D542="","-",+C553+1)</f>
        <v>2020</v>
      </c>
      <c r="D554" s="477">
        <f t="shared" si="31"/>
        <v>8974560.5131578911</v>
      </c>
      <c r="E554" s="519">
        <f t="shared" si="35"/>
        <v>273336.86842105264</v>
      </c>
      <c r="F554" s="477">
        <f t="shared" si="30"/>
        <v>8701223.6447368376</v>
      </c>
      <c r="G554" s="954">
        <f t="shared" si="32"/>
        <v>1255126.9941553834</v>
      </c>
      <c r="H554" s="957">
        <f t="shared" si="33"/>
        <v>1255126.9941553834</v>
      </c>
      <c r="I554" s="516">
        <f t="shared" si="34"/>
        <v>0</v>
      </c>
      <c r="J554" s="516"/>
      <c r="K554" s="652"/>
      <c r="L554" s="522"/>
      <c r="M554" s="652"/>
      <c r="N554" s="522"/>
      <c r="O554" s="522"/>
    </row>
    <row r="555" spans="1:15">
      <c r="C555" s="512">
        <f>IF(D542="","-",+C554+1)</f>
        <v>2021</v>
      </c>
      <c r="D555" s="477">
        <f t="shared" si="31"/>
        <v>8701223.6447368376</v>
      </c>
      <c r="E555" s="519">
        <f t="shared" si="35"/>
        <v>273336.86842105264</v>
      </c>
      <c r="F555" s="477">
        <f t="shared" si="30"/>
        <v>8427886.7763157841</v>
      </c>
      <c r="G555" s="954">
        <f t="shared" si="32"/>
        <v>1224762.3510914347</v>
      </c>
      <c r="H555" s="957">
        <f t="shared" si="33"/>
        <v>1224762.3510914347</v>
      </c>
      <c r="I555" s="516">
        <f t="shared" si="34"/>
        <v>0</v>
      </c>
      <c r="J555" s="516"/>
      <c r="K555" s="652"/>
      <c r="L555" s="522"/>
      <c r="M555" s="652"/>
      <c r="N555" s="522"/>
      <c r="O555" s="522"/>
    </row>
    <row r="556" spans="1:15">
      <c r="C556" s="512">
        <f>IF(D542="","-",+C555+1)</f>
        <v>2022</v>
      </c>
      <c r="D556" s="477">
        <f t="shared" si="31"/>
        <v>8427886.7763157841</v>
      </c>
      <c r="E556" s="519">
        <f t="shared" si="35"/>
        <v>273336.86842105264</v>
      </c>
      <c r="F556" s="477">
        <f t="shared" si="30"/>
        <v>8154549.9078947315</v>
      </c>
      <c r="G556" s="954">
        <f t="shared" si="32"/>
        <v>1194397.7080274865</v>
      </c>
      <c r="H556" s="957">
        <f t="shared" si="33"/>
        <v>1194397.7080274865</v>
      </c>
      <c r="I556" s="516">
        <f t="shared" si="34"/>
        <v>0</v>
      </c>
      <c r="J556" s="516"/>
      <c r="K556" s="652"/>
      <c r="L556" s="522"/>
      <c r="M556" s="652"/>
      <c r="N556" s="522"/>
      <c r="O556" s="522"/>
    </row>
    <row r="557" spans="1:15">
      <c r="C557" s="512">
        <f>IF(D542="","-",+C556+1)</f>
        <v>2023</v>
      </c>
      <c r="D557" s="477">
        <f t="shared" si="31"/>
        <v>8154549.9078947315</v>
      </c>
      <c r="E557" s="519">
        <f t="shared" si="35"/>
        <v>273336.86842105264</v>
      </c>
      <c r="F557" s="477">
        <f t="shared" si="30"/>
        <v>7881213.0394736789</v>
      </c>
      <c r="G557" s="954">
        <f t="shared" si="32"/>
        <v>1164033.064963538</v>
      </c>
      <c r="H557" s="957">
        <f t="shared" si="33"/>
        <v>1164033.064963538</v>
      </c>
      <c r="I557" s="516">
        <f t="shared" si="34"/>
        <v>0</v>
      </c>
      <c r="J557" s="516"/>
      <c r="K557" s="652"/>
      <c r="L557" s="522"/>
      <c r="M557" s="652"/>
      <c r="N557" s="522"/>
      <c r="O557" s="522"/>
    </row>
    <row r="558" spans="1:15">
      <c r="C558" s="512">
        <f>IF(D542="","-",+C557+1)</f>
        <v>2024</v>
      </c>
      <c r="D558" s="477">
        <f t="shared" si="31"/>
        <v>7881213.0394736789</v>
      </c>
      <c r="E558" s="519">
        <f t="shared" si="35"/>
        <v>273336.86842105264</v>
      </c>
      <c r="F558" s="477">
        <f t="shared" si="30"/>
        <v>7607876.1710526263</v>
      </c>
      <c r="G558" s="954">
        <f t="shared" si="32"/>
        <v>1133668.4218995897</v>
      </c>
      <c r="H558" s="957">
        <f t="shared" si="33"/>
        <v>1133668.4218995897</v>
      </c>
      <c r="I558" s="516">
        <f t="shared" si="34"/>
        <v>0</v>
      </c>
      <c r="J558" s="516"/>
      <c r="K558" s="652"/>
      <c r="L558" s="522"/>
      <c r="M558" s="652"/>
      <c r="N558" s="522"/>
      <c r="O558" s="522"/>
    </row>
    <row r="559" spans="1:15">
      <c r="C559" s="512">
        <f>IF(D542="","-",+C558+1)</f>
        <v>2025</v>
      </c>
      <c r="D559" s="477">
        <f t="shared" si="31"/>
        <v>7607876.1710526263</v>
      </c>
      <c r="E559" s="519">
        <f t="shared" si="35"/>
        <v>273336.86842105264</v>
      </c>
      <c r="F559" s="477">
        <f t="shared" si="30"/>
        <v>7334539.3026315738</v>
      </c>
      <c r="G559" s="954">
        <f t="shared" si="32"/>
        <v>1103303.7788356412</v>
      </c>
      <c r="H559" s="957">
        <f t="shared" si="33"/>
        <v>1103303.7788356412</v>
      </c>
      <c r="I559" s="516">
        <f t="shared" si="34"/>
        <v>0</v>
      </c>
      <c r="J559" s="516"/>
      <c r="K559" s="652"/>
      <c r="L559" s="522"/>
      <c r="M559" s="652"/>
      <c r="N559" s="522"/>
      <c r="O559" s="522"/>
    </row>
    <row r="560" spans="1:15">
      <c r="C560" s="512">
        <f>IF(D542="","-",+C559+1)</f>
        <v>2026</v>
      </c>
      <c r="D560" s="477">
        <f t="shared" si="31"/>
        <v>7334539.3026315738</v>
      </c>
      <c r="E560" s="519">
        <f t="shared" si="35"/>
        <v>273336.86842105264</v>
      </c>
      <c r="F560" s="477">
        <f t="shared" si="30"/>
        <v>7061202.4342105212</v>
      </c>
      <c r="G560" s="954">
        <f t="shared" si="32"/>
        <v>1072939.135771693</v>
      </c>
      <c r="H560" s="957">
        <f t="shared" si="33"/>
        <v>1072939.135771693</v>
      </c>
      <c r="I560" s="516">
        <f t="shared" si="34"/>
        <v>0</v>
      </c>
      <c r="J560" s="516"/>
      <c r="K560" s="652"/>
      <c r="L560" s="522"/>
      <c r="M560" s="652"/>
      <c r="N560" s="522"/>
      <c r="O560" s="522"/>
    </row>
    <row r="561" spans="3:15">
      <c r="C561" s="512">
        <f>IF(D542="","-",+C560+1)</f>
        <v>2027</v>
      </c>
      <c r="D561" s="477">
        <f t="shared" si="31"/>
        <v>7061202.4342105212</v>
      </c>
      <c r="E561" s="519">
        <f t="shared" si="35"/>
        <v>273336.86842105264</v>
      </c>
      <c r="F561" s="477">
        <f t="shared" si="30"/>
        <v>6787865.5657894686</v>
      </c>
      <c r="G561" s="954">
        <f t="shared" si="32"/>
        <v>1042574.4927077445</v>
      </c>
      <c r="H561" s="957">
        <f t="shared" si="33"/>
        <v>1042574.4927077445</v>
      </c>
      <c r="I561" s="516">
        <f t="shared" si="34"/>
        <v>0</v>
      </c>
      <c r="J561" s="516"/>
      <c r="K561" s="652"/>
      <c r="L561" s="522"/>
      <c r="M561" s="652"/>
      <c r="N561" s="522"/>
      <c r="O561" s="522"/>
    </row>
    <row r="562" spans="3:15">
      <c r="C562" s="512">
        <f>IF(D542="","-",+C561+1)</f>
        <v>2028</v>
      </c>
      <c r="D562" s="477">
        <f t="shared" si="31"/>
        <v>6787865.5657894686</v>
      </c>
      <c r="E562" s="519">
        <f t="shared" si="35"/>
        <v>273336.86842105264</v>
      </c>
      <c r="F562" s="477">
        <f t="shared" si="30"/>
        <v>6514528.697368416</v>
      </c>
      <c r="G562" s="954">
        <f t="shared" si="32"/>
        <v>1012209.8496437962</v>
      </c>
      <c r="H562" s="957">
        <f t="shared" si="33"/>
        <v>1012209.8496437962</v>
      </c>
      <c r="I562" s="516">
        <f t="shared" si="34"/>
        <v>0</v>
      </c>
      <c r="J562" s="516"/>
      <c r="K562" s="652"/>
      <c r="L562" s="522"/>
      <c r="M562" s="652"/>
      <c r="N562" s="522"/>
      <c r="O562" s="522"/>
    </row>
    <row r="563" spans="3:15">
      <c r="C563" s="512">
        <f>IF(D542="","-",+C562+1)</f>
        <v>2029</v>
      </c>
      <c r="D563" s="477">
        <f t="shared" si="31"/>
        <v>6514528.697368416</v>
      </c>
      <c r="E563" s="519">
        <f t="shared" si="35"/>
        <v>273336.86842105264</v>
      </c>
      <c r="F563" s="477">
        <f t="shared" si="30"/>
        <v>6241191.8289473634</v>
      </c>
      <c r="G563" s="954">
        <f t="shared" si="32"/>
        <v>981845.20657984773</v>
      </c>
      <c r="H563" s="957">
        <f t="shared" si="33"/>
        <v>981845.20657984773</v>
      </c>
      <c r="I563" s="516">
        <f t="shared" si="34"/>
        <v>0</v>
      </c>
      <c r="J563" s="516"/>
      <c r="K563" s="652"/>
      <c r="L563" s="522"/>
      <c r="M563" s="652"/>
      <c r="N563" s="522"/>
      <c r="O563" s="522"/>
    </row>
    <row r="564" spans="3:15">
      <c r="C564" s="512">
        <f>IF(D542="","-",+C563+1)</f>
        <v>2030</v>
      </c>
      <c r="D564" s="477">
        <f t="shared" si="31"/>
        <v>6241191.8289473634</v>
      </c>
      <c r="E564" s="519">
        <f t="shared" si="35"/>
        <v>273336.86842105264</v>
      </c>
      <c r="F564" s="477">
        <f t="shared" si="30"/>
        <v>5967854.9605263108</v>
      </c>
      <c r="G564" s="954">
        <f t="shared" si="32"/>
        <v>951480.56351589947</v>
      </c>
      <c r="H564" s="957">
        <f t="shared" si="33"/>
        <v>951480.56351589947</v>
      </c>
      <c r="I564" s="516">
        <f t="shared" si="34"/>
        <v>0</v>
      </c>
      <c r="J564" s="516"/>
      <c r="K564" s="652"/>
      <c r="L564" s="522"/>
      <c r="M564" s="652"/>
      <c r="N564" s="522"/>
      <c r="O564" s="522"/>
    </row>
    <row r="565" spans="3:15">
      <c r="C565" s="512">
        <f>IF(D542="","-",+C564+1)</f>
        <v>2031</v>
      </c>
      <c r="D565" s="477">
        <f t="shared" si="31"/>
        <v>5967854.9605263108</v>
      </c>
      <c r="E565" s="519">
        <f t="shared" si="35"/>
        <v>273336.86842105264</v>
      </c>
      <c r="F565" s="477">
        <f t="shared" si="30"/>
        <v>5694518.0921052583</v>
      </c>
      <c r="G565" s="954">
        <f t="shared" si="32"/>
        <v>921115.92045195098</v>
      </c>
      <c r="H565" s="957">
        <f t="shared" si="33"/>
        <v>921115.92045195098</v>
      </c>
      <c r="I565" s="516">
        <f t="shared" si="34"/>
        <v>0</v>
      </c>
      <c r="J565" s="516"/>
      <c r="K565" s="652"/>
      <c r="L565" s="522"/>
      <c r="M565" s="652"/>
      <c r="N565" s="522"/>
      <c r="O565" s="522"/>
    </row>
    <row r="566" spans="3:15">
      <c r="C566" s="512">
        <f>IF(D542="","-",+C565+1)</f>
        <v>2032</v>
      </c>
      <c r="D566" s="477">
        <f t="shared" si="31"/>
        <v>5694518.0921052583</v>
      </c>
      <c r="E566" s="519">
        <f t="shared" si="35"/>
        <v>273336.86842105264</v>
      </c>
      <c r="F566" s="477">
        <f t="shared" si="30"/>
        <v>5421181.2236842057</v>
      </c>
      <c r="G566" s="954">
        <f t="shared" si="32"/>
        <v>890751.27738800249</v>
      </c>
      <c r="H566" s="957">
        <f t="shared" si="33"/>
        <v>890751.27738800249</v>
      </c>
      <c r="I566" s="516">
        <f t="shared" si="34"/>
        <v>0</v>
      </c>
      <c r="J566" s="516"/>
      <c r="K566" s="652"/>
      <c r="L566" s="522"/>
      <c r="M566" s="652"/>
      <c r="N566" s="522"/>
      <c r="O566" s="522"/>
    </row>
    <row r="567" spans="3:15">
      <c r="C567" s="512">
        <f>IF(D542="","-",+C566+1)</f>
        <v>2033</v>
      </c>
      <c r="D567" s="477">
        <f t="shared" si="31"/>
        <v>5421181.2236842057</v>
      </c>
      <c r="E567" s="519">
        <f t="shared" si="35"/>
        <v>273336.86842105264</v>
      </c>
      <c r="F567" s="477">
        <f t="shared" si="30"/>
        <v>5147844.3552631531</v>
      </c>
      <c r="G567" s="954">
        <f t="shared" si="32"/>
        <v>860386.63432405423</v>
      </c>
      <c r="H567" s="957">
        <f t="shared" si="33"/>
        <v>860386.63432405423</v>
      </c>
      <c r="I567" s="516">
        <f t="shared" si="34"/>
        <v>0</v>
      </c>
      <c r="J567" s="516"/>
      <c r="K567" s="652"/>
      <c r="L567" s="522"/>
      <c r="M567" s="652"/>
      <c r="N567" s="522"/>
      <c r="O567" s="522"/>
    </row>
    <row r="568" spans="3:15">
      <c r="C568" s="512">
        <f>IF(D542="","-",+C567+1)</f>
        <v>2034</v>
      </c>
      <c r="D568" s="477">
        <f t="shared" si="31"/>
        <v>5147844.3552631531</v>
      </c>
      <c r="E568" s="519">
        <f t="shared" si="35"/>
        <v>273336.86842105264</v>
      </c>
      <c r="F568" s="477">
        <f t="shared" si="30"/>
        <v>4874507.4868421005</v>
      </c>
      <c r="G568" s="954">
        <f t="shared" si="32"/>
        <v>830021.99126010574</v>
      </c>
      <c r="H568" s="957">
        <f t="shared" si="33"/>
        <v>830021.99126010574</v>
      </c>
      <c r="I568" s="516">
        <f t="shared" si="34"/>
        <v>0</v>
      </c>
      <c r="J568" s="516"/>
      <c r="K568" s="652"/>
      <c r="L568" s="522"/>
      <c r="M568" s="652"/>
      <c r="N568" s="522"/>
      <c r="O568" s="522"/>
    </row>
    <row r="569" spans="3:15">
      <c r="C569" s="512">
        <f>IF(D542="","-",+C568+1)</f>
        <v>2035</v>
      </c>
      <c r="D569" s="477">
        <f t="shared" si="31"/>
        <v>4874507.4868421005</v>
      </c>
      <c r="E569" s="519">
        <f t="shared" si="35"/>
        <v>273336.86842105264</v>
      </c>
      <c r="F569" s="477">
        <f t="shared" si="30"/>
        <v>4601170.6184210479</v>
      </c>
      <c r="G569" s="954">
        <f t="shared" si="32"/>
        <v>799657.34819615725</v>
      </c>
      <c r="H569" s="957">
        <f t="shared" si="33"/>
        <v>799657.34819615725</v>
      </c>
      <c r="I569" s="516">
        <f t="shared" si="34"/>
        <v>0</v>
      </c>
      <c r="J569" s="516"/>
      <c r="K569" s="652"/>
      <c r="L569" s="522"/>
      <c r="M569" s="652"/>
      <c r="N569" s="522"/>
      <c r="O569" s="522"/>
    </row>
    <row r="570" spans="3:15">
      <c r="C570" s="512">
        <f>IF(D542="","-",+C569+1)</f>
        <v>2036</v>
      </c>
      <c r="D570" s="477">
        <f t="shared" si="31"/>
        <v>4601170.6184210479</v>
      </c>
      <c r="E570" s="519">
        <f t="shared" si="35"/>
        <v>273336.86842105264</v>
      </c>
      <c r="F570" s="477">
        <f t="shared" si="30"/>
        <v>4327833.7499999953</v>
      </c>
      <c r="G570" s="954">
        <f t="shared" si="32"/>
        <v>769292.70513220911</v>
      </c>
      <c r="H570" s="957">
        <f t="shared" si="33"/>
        <v>769292.70513220911</v>
      </c>
      <c r="I570" s="516">
        <f t="shared" si="34"/>
        <v>0</v>
      </c>
      <c r="J570" s="516"/>
      <c r="K570" s="652"/>
      <c r="L570" s="522"/>
      <c r="M570" s="652"/>
      <c r="N570" s="522"/>
      <c r="O570" s="522"/>
    </row>
    <row r="571" spans="3:15">
      <c r="C571" s="512">
        <f>IF(D542="","-",+C570+1)</f>
        <v>2037</v>
      </c>
      <c r="D571" s="477">
        <f t="shared" si="31"/>
        <v>4327833.7499999953</v>
      </c>
      <c r="E571" s="519">
        <f t="shared" si="35"/>
        <v>273336.86842105264</v>
      </c>
      <c r="F571" s="477">
        <f t="shared" si="30"/>
        <v>4054496.8815789428</v>
      </c>
      <c r="G571" s="954">
        <f t="shared" si="32"/>
        <v>738928.06206826074</v>
      </c>
      <c r="H571" s="957">
        <f t="shared" si="33"/>
        <v>738928.06206826074</v>
      </c>
      <c r="I571" s="516">
        <f t="shared" si="34"/>
        <v>0</v>
      </c>
      <c r="J571" s="516"/>
      <c r="K571" s="652"/>
      <c r="L571" s="522"/>
      <c r="M571" s="652"/>
      <c r="N571" s="522"/>
      <c r="O571" s="522"/>
    </row>
    <row r="572" spans="3:15">
      <c r="C572" s="512">
        <f>IF(D542="","-",+C571+1)</f>
        <v>2038</v>
      </c>
      <c r="D572" s="477">
        <f t="shared" si="31"/>
        <v>4054496.8815789428</v>
      </c>
      <c r="E572" s="519">
        <f t="shared" si="35"/>
        <v>273336.86842105264</v>
      </c>
      <c r="F572" s="477">
        <f t="shared" si="30"/>
        <v>3781160.0131578902</v>
      </c>
      <c r="G572" s="954">
        <f t="shared" si="32"/>
        <v>708563.41900431225</v>
      </c>
      <c r="H572" s="957">
        <f t="shared" si="33"/>
        <v>708563.41900431225</v>
      </c>
      <c r="I572" s="516">
        <f t="shared" si="34"/>
        <v>0</v>
      </c>
      <c r="J572" s="516"/>
      <c r="K572" s="652"/>
      <c r="L572" s="522"/>
      <c r="M572" s="652"/>
      <c r="N572" s="522"/>
      <c r="O572" s="522"/>
    </row>
    <row r="573" spans="3:15">
      <c r="C573" s="512">
        <f>IF(D542="","-",+C572+1)</f>
        <v>2039</v>
      </c>
      <c r="D573" s="477">
        <f t="shared" si="31"/>
        <v>3781160.0131578902</v>
      </c>
      <c r="E573" s="519">
        <f t="shared" si="35"/>
        <v>273336.86842105264</v>
      </c>
      <c r="F573" s="477">
        <f t="shared" si="30"/>
        <v>3507823.1447368376</v>
      </c>
      <c r="G573" s="954">
        <f t="shared" si="32"/>
        <v>678198.77594036399</v>
      </c>
      <c r="H573" s="957">
        <f t="shared" si="33"/>
        <v>678198.77594036399</v>
      </c>
      <c r="I573" s="516">
        <f t="shared" si="34"/>
        <v>0</v>
      </c>
      <c r="J573" s="516"/>
      <c r="K573" s="652"/>
      <c r="L573" s="522"/>
      <c r="M573" s="652"/>
      <c r="N573" s="522"/>
      <c r="O573" s="522"/>
    </row>
    <row r="574" spans="3:15">
      <c r="C574" s="512">
        <f>IF(D542="","-",+C573+1)</f>
        <v>2040</v>
      </c>
      <c r="D574" s="477">
        <f t="shared" si="31"/>
        <v>3507823.1447368376</v>
      </c>
      <c r="E574" s="519">
        <f t="shared" si="35"/>
        <v>273336.86842105264</v>
      </c>
      <c r="F574" s="477">
        <f t="shared" si="30"/>
        <v>3234486.276315785</v>
      </c>
      <c r="G574" s="954">
        <f t="shared" si="32"/>
        <v>647834.1328764155</v>
      </c>
      <c r="H574" s="957">
        <f t="shared" si="33"/>
        <v>647834.1328764155</v>
      </c>
      <c r="I574" s="516">
        <f t="shared" si="34"/>
        <v>0</v>
      </c>
      <c r="J574" s="516"/>
      <c r="K574" s="652"/>
      <c r="L574" s="522"/>
      <c r="M574" s="652"/>
      <c r="N574" s="522"/>
      <c r="O574" s="522"/>
    </row>
    <row r="575" spans="3:15">
      <c r="C575" s="512">
        <f>IF(D542="","-",+C574+1)</f>
        <v>2041</v>
      </c>
      <c r="D575" s="477">
        <f t="shared" si="31"/>
        <v>3234486.276315785</v>
      </c>
      <c r="E575" s="519">
        <f t="shared" si="35"/>
        <v>273336.86842105264</v>
      </c>
      <c r="F575" s="477">
        <f t="shared" si="30"/>
        <v>2961149.4078947324</v>
      </c>
      <c r="G575" s="954">
        <f t="shared" si="32"/>
        <v>617469.48981246713</v>
      </c>
      <c r="H575" s="957">
        <f t="shared" si="33"/>
        <v>617469.48981246713</v>
      </c>
      <c r="I575" s="516">
        <f t="shared" si="34"/>
        <v>0</v>
      </c>
      <c r="J575" s="516"/>
      <c r="K575" s="652"/>
      <c r="L575" s="522"/>
      <c r="M575" s="652"/>
      <c r="N575" s="522"/>
      <c r="O575" s="522"/>
    </row>
    <row r="576" spans="3:15">
      <c r="C576" s="512">
        <f>IF(D542="","-",+C575+1)</f>
        <v>2042</v>
      </c>
      <c r="D576" s="477">
        <f t="shared" si="31"/>
        <v>2961149.4078947324</v>
      </c>
      <c r="E576" s="519">
        <f t="shared" si="35"/>
        <v>273336.86842105264</v>
      </c>
      <c r="F576" s="477">
        <f t="shared" si="30"/>
        <v>2687812.5394736798</v>
      </c>
      <c r="G576" s="965">
        <f t="shared" si="32"/>
        <v>587104.84674851876</v>
      </c>
      <c r="H576" s="957">
        <f t="shared" si="33"/>
        <v>587104.84674851876</v>
      </c>
      <c r="I576" s="516">
        <f t="shared" si="34"/>
        <v>0</v>
      </c>
      <c r="J576" s="516"/>
      <c r="K576" s="652"/>
      <c r="L576" s="522"/>
      <c r="M576" s="652"/>
      <c r="N576" s="522"/>
      <c r="O576" s="522"/>
    </row>
    <row r="577" spans="3:15">
      <c r="C577" s="512">
        <f>IF(D542="","-",+C576+1)</f>
        <v>2043</v>
      </c>
      <c r="D577" s="477">
        <f t="shared" si="31"/>
        <v>2687812.5394736798</v>
      </c>
      <c r="E577" s="519">
        <f t="shared" si="35"/>
        <v>273336.86842105264</v>
      </c>
      <c r="F577" s="477">
        <f t="shared" si="30"/>
        <v>2414475.6710526273</v>
      </c>
      <c r="G577" s="954">
        <f t="shared" si="32"/>
        <v>556740.20368457038</v>
      </c>
      <c r="H577" s="957">
        <f t="shared" si="33"/>
        <v>556740.20368457038</v>
      </c>
      <c r="I577" s="516">
        <f t="shared" si="34"/>
        <v>0</v>
      </c>
      <c r="J577" s="516"/>
      <c r="K577" s="652"/>
      <c r="L577" s="522"/>
      <c r="M577" s="652"/>
      <c r="N577" s="522"/>
      <c r="O577" s="522"/>
    </row>
    <row r="578" spans="3:15">
      <c r="C578" s="512">
        <f>IF(D542="","-",+C577+1)</f>
        <v>2044</v>
      </c>
      <c r="D578" s="477">
        <f t="shared" si="31"/>
        <v>2414475.6710526273</v>
      </c>
      <c r="E578" s="519">
        <f t="shared" si="35"/>
        <v>273336.86842105264</v>
      </c>
      <c r="F578" s="477">
        <f t="shared" si="30"/>
        <v>2141138.8026315747</v>
      </c>
      <c r="G578" s="954">
        <f t="shared" si="32"/>
        <v>526375.56062062201</v>
      </c>
      <c r="H578" s="957">
        <f t="shared" si="33"/>
        <v>526375.56062062201</v>
      </c>
      <c r="I578" s="516">
        <f t="shared" si="34"/>
        <v>0</v>
      </c>
      <c r="J578" s="516"/>
      <c r="K578" s="652"/>
      <c r="L578" s="522"/>
      <c r="M578" s="652"/>
      <c r="N578" s="522"/>
      <c r="O578" s="522"/>
    </row>
    <row r="579" spans="3:15">
      <c r="C579" s="512">
        <f>IF(D542="","-",+C578+1)</f>
        <v>2045</v>
      </c>
      <c r="D579" s="477">
        <f t="shared" si="31"/>
        <v>2141138.8026315747</v>
      </c>
      <c r="E579" s="519">
        <f t="shared" si="35"/>
        <v>273336.86842105264</v>
      </c>
      <c r="F579" s="477">
        <f t="shared" si="30"/>
        <v>1867801.9342105221</v>
      </c>
      <c r="G579" s="954">
        <f t="shared" si="32"/>
        <v>496010.91755667364</v>
      </c>
      <c r="H579" s="957">
        <f t="shared" si="33"/>
        <v>496010.91755667364</v>
      </c>
      <c r="I579" s="516">
        <f t="shared" si="34"/>
        <v>0</v>
      </c>
      <c r="J579" s="516"/>
      <c r="K579" s="652"/>
      <c r="L579" s="522"/>
      <c r="M579" s="652"/>
      <c r="N579" s="522"/>
      <c r="O579" s="522"/>
    </row>
    <row r="580" spans="3:15">
      <c r="C580" s="512">
        <f>IF(D542="","-",+C579+1)</f>
        <v>2046</v>
      </c>
      <c r="D580" s="477">
        <f t="shared" si="31"/>
        <v>1867801.9342105221</v>
      </c>
      <c r="E580" s="519">
        <f t="shared" si="35"/>
        <v>273336.86842105264</v>
      </c>
      <c r="F580" s="477">
        <f t="shared" si="30"/>
        <v>1594465.0657894695</v>
      </c>
      <c r="G580" s="954">
        <f t="shared" si="32"/>
        <v>465646.27449272526</v>
      </c>
      <c r="H580" s="957">
        <f t="shared" si="33"/>
        <v>465646.27449272526</v>
      </c>
      <c r="I580" s="516">
        <f t="shared" si="34"/>
        <v>0</v>
      </c>
      <c r="J580" s="516"/>
      <c r="K580" s="652"/>
      <c r="L580" s="522"/>
      <c r="M580" s="652"/>
      <c r="N580" s="522"/>
      <c r="O580" s="522"/>
    </row>
    <row r="581" spans="3:15">
      <c r="C581" s="512">
        <f>IF(D542="","-",+C580+1)</f>
        <v>2047</v>
      </c>
      <c r="D581" s="477">
        <f t="shared" si="31"/>
        <v>1594465.0657894695</v>
      </c>
      <c r="E581" s="519">
        <f t="shared" si="35"/>
        <v>273336.86842105264</v>
      </c>
      <c r="F581" s="477">
        <f t="shared" si="30"/>
        <v>1321128.1973684169</v>
      </c>
      <c r="G581" s="954">
        <f t="shared" si="32"/>
        <v>435281.63142877689</v>
      </c>
      <c r="H581" s="957">
        <f t="shared" si="33"/>
        <v>435281.63142877689</v>
      </c>
      <c r="I581" s="516">
        <f t="shared" si="34"/>
        <v>0</v>
      </c>
      <c r="J581" s="516"/>
      <c r="K581" s="652"/>
      <c r="L581" s="522"/>
      <c r="M581" s="652"/>
      <c r="N581" s="522"/>
      <c r="O581" s="522"/>
    </row>
    <row r="582" spans="3:15">
      <c r="C582" s="512">
        <f>IF(D542="","-",+C581+1)</f>
        <v>2048</v>
      </c>
      <c r="D582" s="477">
        <f t="shared" si="31"/>
        <v>1321128.1973684169</v>
      </c>
      <c r="E582" s="519">
        <f t="shared" si="35"/>
        <v>273336.86842105264</v>
      </c>
      <c r="F582" s="477">
        <f t="shared" si="30"/>
        <v>1047791.3289473644</v>
      </c>
      <c r="G582" s="954">
        <f t="shared" si="32"/>
        <v>404916.98836482852</v>
      </c>
      <c r="H582" s="957">
        <f t="shared" si="33"/>
        <v>404916.98836482852</v>
      </c>
      <c r="I582" s="516">
        <f t="shared" si="34"/>
        <v>0</v>
      </c>
      <c r="J582" s="516"/>
      <c r="K582" s="652"/>
      <c r="L582" s="522"/>
      <c r="M582" s="652"/>
      <c r="N582" s="522"/>
      <c r="O582" s="522"/>
    </row>
    <row r="583" spans="3:15">
      <c r="C583" s="512">
        <f>IF(D542="","-",+C582+1)</f>
        <v>2049</v>
      </c>
      <c r="D583" s="477">
        <f t="shared" si="31"/>
        <v>1047791.3289473644</v>
      </c>
      <c r="E583" s="519">
        <f t="shared" si="35"/>
        <v>273336.86842105264</v>
      </c>
      <c r="F583" s="477">
        <f t="shared" si="30"/>
        <v>774454.46052631177</v>
      </c>
      <c r="G583" s="954">
        <f t="shared" si="32"/>
        <v>374552.34530088014</v>
      </c>
      <c r="H583" s="957">
        <f t="shared" si="33"/>
        <v>374552.34530088014</v>
      </c>
      <c r="I583" s="516">
        <f t="shared" si="34"/>
        <v>0</v>
      </c>
      <c r="J583" s="516"/>
      <c r="K583" s="652"/>
      <c r="L583" s="522"/>
      <c r="M583" s="652"/>
      <c r="N583" s="522"/>
      <c r="O583" s="522"/>
    </row>
    <row r="584" spans="3:15">
      <c r="C584" s="512">
        <f>IF(D542="","-",+C583+1)</f>
        <v>2050</v>
      </c>
      <c r="D584" s="477">
        <f t="shared" si="31"/>
        <v>774454.46052631177</v>
      </c>
      <c r="E584" s="519">
        <f t="shared" si="35"/>
        <v>273336.86842105264</v>
      </c>
      <c r="F584" s="477">
        <f t="shared" si="30"/>
        <v>501117.59210525913</v>
      </c>
      <c r="G584" s="954">
        <f t="shared" si="32"/>
        <v>344187.70223693177</v>
      </c>
      <c r="H584" s="957">
        <f t="shared" si="33"/>
        <v>344187.70223693177</v>
      </c>
      <c r="I584" s="516">
        <f t="shared" si="34"/>
        <v>0</v>
      </c>
      <c r="J584" s="516"/>
      <c r="K584" s="652"/>
      <c r="L584" s="522"/>
      <c r="M584" s="652"/>
      <c r="N584" s="522"/>
      <c r="O584" s="522"/>
    </row>
    <row r="585" spans="3:15">
      <c r="C585" s="512">
        <f>IF(D542="","-",+C584+1)</f>
        <v>2051</v>
      </c>
      <c r="D585" s="477">
        <f t="shared" si="31"/>
        <v>501117.59210525913</v>
      </c>
      <c r="E585" s="519">
        <f t="shared" si="35"/>
        <v>273336.86842105264</v>
      </c>
      <c r="F585" s="477">
        <f t="shared" si="30"/>
        <v>227780.72368420649</v>
      </c>
      <c r="G585" s="954">
        <f t="shared" si="32"/>
        <v>313823.0591729834</v>
      </c>
      <c r="H585" s="957">
        <f t="shared" si="33"/>
        <v>313823.0591729834</v>
      </c>
      <c r="I585" s="516">
        <f t="shared" si="34"/>
        <v>0</v>
      </c>
      <c r="J585" s="516"/>
      <c r="K585" s="652"/>
      <c r="L585" s="522"/>
      <c r="M585" s="652"/>
      <c r="N585" s="522"/>
      <c r="O585" s="522"/>
    </row>
    <row r="586" spans="3:15">
      <c r="C586" s="512">
        <f>IF(D542="","-",+C585+1)</f>
        <v>2052</v>
      </c>
      <c r="D586" s="477">
        <f t="shared" si="31"/>
        <v>227780.72368420649</v>
      </c>
      <c r="E586" s="519">
        <f t="shared" si="35"/>
        <v>227780.72368420649</v>
      </c>
      <c r="F586" s="477">
        <f t="shared" si="30"/>
        <v>0</v>
      </c>
      <c r="G586" s="954">
        <f t="shared" si="32"/>
        <v>240432.65829418474</v>
      </c>
      <c r="H586" s="957">
        <f t="shared" si="33"/>
        <v>240432.65829418474</v>
      </c>
      <c r="I586" s="516">
        <f t="shared" si="34"/>
        <v>0</v>
      </c>
      <c r="J586" s="516"/>
      <c r="K586" s="652"/>
      <c r="L586" s="522"/>
      <c r="M586" s="652"/>
      <c r="N586" s="522"/>
      <c r="O586" s="522"/>
    </row>
    <row r="587" spans="3:15">
      <c r="C587" s="512">
        <f>IF(D542="","-",+C586+1)</f>
        <v>2053</v>
      </c>
      <c r="D587" s="477">
        <f t="shared" si="31"/>
        <v>0</v>
      </c>
      <c r="E587" s="519">
        <f t="shared" si="35"/>
        <v>0</v>
      </c>
      <c r="F587" s="477">
        <f t="shared" si="30"/>
        <v>0</v>
      </c>
      <c r="G587" s="954">
        <f t="shared" si="32"/>
        <v>0</v>
      </c>
      <c r="H587" s="957">
        <f t="shared" si="33"/>
        <v>0</v>
      </c>
      <c r="I587" s="516">
        <f t="shared" si="34"/>
        <v>0</v>
      </c>
      <c r="J587" s="516"/>
      <c r="K587" s="652"/>
      <c r="L587" s="522"/>
      <c r="M587" s="652"/>
      <c r="N587" s="522"/>
      <c r="O587" s="522"/>
    </row>
    <row r="588" spans="3:15">
      <c r="C588" s="512">
        <f>IF(D542="","-",+C587+1)</f>
        <v>2054</v>
      </c>
      <c r="D588" s="477">
        <f t="shared" si="31"/>
        <v>0</v>
      </c>
      <c r="E588" s="519">
        <f t="shared" si="35"/>
        <v>0</v>
      </c>
      <c r="F588" s="477">
        <f t="shared" si="30"/>
        <v>0</v>
      </c>
      <c r="G588" s="954">
        <f t="shared" si="32"/>
        <v>0</v>
      </c>
      <c r="H588" s="957">
        <f t="shared" si="33"/>
        <v>0</v>
      </c>
      <c r="I588" s="516">
        <f t="shared" si="34"/>
        <v>0</v>
      </c>
      <c r="J588" s="516"/>
      <c r="K588" s="652"/>
      <c r="L588" s="522"/>
      <c r="M588" s="652"/>
      <c r="N588" s="522"/>
      <c r="O588" s="522"/>
    </row>
    <row r="589" spans="3:15">
      <c r="C589" s="512">
        <f>IF(D542="","-",+C588+1)</f>
        <v>2055</v>
      </c>
      <c r="D589" s="477">
        <f t="shared" si="31"/>
        <v>0</v>
      </c>
      <c r="E589" s="519">
        <f t="shared" si="35"/>
        <v>0</v>
      </c>
      <c r="F589" s="477">
        <f t="shared" si="30"/>
        <v>0</v>
      </c>
      <c r="G589" s="954">
        <f t="shared" si="32"/>
        <v>0</v>
      </c>
      <c r="H589" s="957">
        <f t="shared" si="33"/>
        <v>0</v>
      </c>
      <c r="I589" s="516">
        <f t="shared" si="34"/>
        <v>0</v>
      </c>
      <c r="J589" s="516"/>
      <c r="K589" s="652"/>
      <c r="L589" s="522"/>
      <c r="M589" s="652"/>
      <c r="N589" s="522"/>
      <c r="O589" s="522"/>
    </row>
    <row r="590" spans="3:15">
      <c r="C590" s="512">
        <f>IF(D542="","-",+C589+1)</f>
        <v>2056</v>
      </c>
      <c r="D590" s="477">
        <f t="shared" si="31"/>
        <v>0</v>
      </c>
      <c r="E590" s="519">
        <f t="shared" si="35"/>
        <v>0</v>
      </c>
      <c r="F590" s="477">
        <f t="shared" si="30"/>
        <v>0</v>
      </c>
      <c r="G590" s="954">
        <f t="shared" si="32"/>
        <v>0</v>
      </c>
      <c r="H590" s="957">
        <f t="shared" si="33"/>
        <v>0</v>
      </c>
      <c r="I590" s="516">
        <f t="shared" si="34"/>
        <v>0</v>
      </c>
      <c r="J590" s="516"/>
      <c r="K590" s="652"/>
      <c r="L590" s="522"/>
      <c r="M590" s="652"/>
      <c r="N590" s="522"/>
      <c r="O590" s="522"/>
    </row>
    <row r="591" spans="3:15">
      <c r="C591" s="512">
        <f>IF(D542="","-",+C590+1)</f>
        <v>2057</v>
      </c>
      <c r="D591" s="477">
        <f t="shared" si="31"/>
        <v>0</v>
      </c>
      <c r="E591" s="519">
        <f t="shared" si="35"/>
        <v>0</v>
      </c>
      <c r="F591" s="477">
        <f t="shared" si="30"/>
        <v>0</v>
      </c>
      <c r="G591" s="954">
        <f t="shared" si="32"/>
        <v>0</v>
      </c>
      <c r="H591" s="957">
        <f t="shared" si="33"/>
        <v>0</v>
      </c>
      <c r="I591" s="516">
        <f t="shared" si="34"/>
        <v>0</v>
      </c>
      <c r="J591" s="516"/>
      <c r="K591" s="652"/>
      <c r="L591" s="522"/>
      <c r="M591" s="652"/>
      <c r="N591" s="522"/>
      <c r="O591" s="522"/>
    </row>
    <row r="592" spans="3:15">
      <c r="C592" s="512">
        <f>IF(D542="","-",+C591+1)</f>
        <v>2058</v>
      </c>
      <c r="D592" s="477">
        <f t="shared" si="31"/>
        <v>0</v>
      </c>
      <c r="E592" s="519">
        <f t="shared" si="35"/>
        <v>0</v>
      </c>
      <c r="F592" s="477">
        <f t="shared" si="30"/>
        <v>0</v>
      </c>
      <c r="G592" s="954">
        <f t="shared" si="32"/>
        <v>0</v>
      </c>
      <c r="H592" s="957">
        <f t="shared" si="33"/>
        <v>0</v>
      </c>
      <c r="I592" s="516">
        <f t="shared" si="34"/>
        <v>0</v>
      </c>
      <c r="J592" s="516"/>
      <c r="K592" s="652"/>
      <c r="L592" s="522"/>
      <c r="M592" s="652"/>
      <c r="N592" s="522"/>
      <c r="O592" s="522"/>
    </row>
    <row r="593" spans="3:15">
      <c r="C593" s="512">
        <f>IF(D542="","-",+C592+1)</f>
        <v>2059</v>
      </c>
      <c r="D593" s="477">
        <f t="shared" si="31"/>
        <v>0</v>
      </c>
      <c r="E593" s="519">
        <f t="shared" si="35"/>
        <v>0</v>
      </c>
      <c r="F593" s="477">
        <f t="shared" si="30"/>
        <v>0</v>
      </c>
      <c r="G593" s="954">
        <f t="shared" si="32"/>
        <v>0</v>
      </c>
      <c r="H593" s="957">
        <f t="shared" si="33"/>
        <v>0</v>
      </c>
      <c r="I593" s="516">
        <f t="shared" si="34"/>
        <v>0</v>
      </c>
      <c r="J593" s="516"/>
      <c r="K593" s="652"/>
      <c r="L593" s="522"/>
      <c r="M593" s="652"/>
      <c r="N593" s="522"/>
      <c r="O593" s="522"/>
    </row>
    <row r="594" spans="3:15">
      <c r="C594" s="512">
        <f>IF(D542="","-",+C593+1)</f>
        <v>2060</v>
      </c>
      <c r="D594" s="477">
        <f t="shared" si="31"/>
        <v>0</v>
      </c>
      <c r="E594" s="519">
        <f t="shared" si="35"/>
        <v>0</v>
      </c>
      <c r="F594" s="477">
        <f t="shared" si="30"/>
        <v>0</v>
      </c>
      <c r="G594" s="954">
        <f t="shared" si="32"/>
        <v>0</v>
      </c>
      <c r="H594" s="957">
        <f t="shared" si="33"/>
        <v>0</v>
      </c>
      <c r="I594" s="516">
        <f t="shared" si="34"/>
        <v>0</v>
      </c>
      <c r="J594" s="516"/>
      <c r="K594" s="652"/>
      <c r="L594" s="522"/>
      <c r="M594" s="652"/>
      <c r="N594" s="522"/>
      <c r="O594" s="522"/>
    </row>
    <row r="595" spans="3:15">
      <c r="C595" s="512">
        <f>IF(D542="","-",+C594+1)</f>
        <v>2061</v>
      </c>
      <c r="D595" s="477">
        <f t="shared" si="31"/>
        <v>0</v>
      </c>
      <c r="E595" s="519">
        <f t="shared" si="35"/>
        <v>0</v>
      </c>
      <c r="F595" s="477">
        <f t="shared" si="30"/>
        <v>0</v>
      </c>
      <c r="G595" s="954">
        <f t="shared" si="32"/>
        <v>0</v>
      </c>
      <c r="H595" s="957">
        <f t="shared" si="33"/>
        <v>0</v>
      </c>
      <c r="I595" s="516">
        <f t="shared" si="34"/>
        <v>0</v>
      </c>
      <c r="J595" s="516"/>
      <c r="K595" s="652"/>
      <c r="L595" s="522"/>
      <c r="M595" s="652"/>
      <c r="N595" s="522"/>
      <c r="O595" s="522"/>
    </row>
    <row r="596" spans="3:15">
      <c r="C596" s="512">
        <f>IF(D542="","-",+C595+1)</f>
        <v>2062</v>
      </c>
      <c r="D596" s="477">
        <f t="shared" si="31"/>
        <v>0</v>
      </c>
      <c r="E596" s="519">
        <f t="shared" si="35"/>
        <v>0</v>
      </c>
      <c r="F596" s="477">
        <f t="shared" si="30"/>
        <v>0</v>
      </c>
      <c r="G596" s="954">
        <f t="shared" si="32"/>
        <v>0</v>
      </c>
      <c r="H596" s="957">
        <f t="shared" si="33"/>
        <v>0</v>
      </c>
      <c r="I596" s="516">
        <f t="shared" si="34"/>
        <v>0</v>
      </c>
      <c r="J596" s="516"/>
      <c r="K596" s="652"/>
      <c r="L596" s="522"/>
      <c r="M596" s="652"/>
      <c r="N596" s="522"/>
      <c r="O596" s="522"/>
    </row>
    <row r="597" spans="3:15">
      <c r="C597" s="512">
        <f>IF(D542="","-",+C596+1)</f>
        <v>2063</v>
      </c>
      <c r="D597" s="477">
        <f t="shared" si="31"/>
        <v>0</v>
      </c>
      <c r="E597" s="519">
        <f t="shared" si="35"/>
        <v>0</v>
      </c>
      <c r="F597" s="477">
        <f t="shared" si="30"/>
        <v>0</v>
      </c>
      <c r="G597" s="954">
        <f t="shared" si="32"/>
        <v>0</v>
      </c>
      <c r="H597" s="957">
        <f t="shared" si="33"/>
        <v>0</v>
      </c>
      <c r="I597" s="516">
        <f t="shared" si="34"/>
        <v>0</v>
      </c>
      <c r="J597" s="516"/>
      <c r="K597" s="652"/>
      <c r="L597" s="522"/>
      <c r="M597" s="652"/>
      <c r="N597" s="522"/>
      <c r="O597" s="522"/>
    </row>
    <row r="598" spans="3:15">
      <c r="C598" s="512">
        <f>IF(D542="","-",+C597+1)</f>
        <v>2064</v>
      </c>
      <c r="D598" s="477">
        <f t="shared" si="31"/>
        <v>0</v>
      </c>
      <c r="E598" s="519">
        <f t="shared" si="35"/>
        <v>0</v>
      </c>
      <c r="F598" s="477">
        <f t="shared" si="30"/>
        <v>0</v>
      </c>
      <c r="G598" s="954">
        <f t="shared" si="32"/>
        <v>0</v>
      </c>
      <c r="H598" s="957">
        <f t="shared" si="33"/>
        <v>0</v>
      </c>
      <c r="I598" s="516">
        <f t="shared" si="34"/>
        <v>0</v>
      </c>
      <c r="J598" s="516"/>
      <c r="K598" s="652"/>
      <c r="L598" s="522"/>
      <c r="M598" s="652"/>
      <c r="N598" s="522"/>
      <c r="O598" s="522"/>
    </row>
    <row r="599" spans="3:15">
      <c r="C599" s="512">
        <f>IF(D542="","-",+C598+1)</f>
        <v>2065</v>
      </c>
      <c r="D599" s="477">
        <f t="shared" si="31"/>
        <v>0</v>
      </c>
      <c r="E599" s="519">
        <f t="shared" si="35"/>
        <v>0</v>
      </c>
      <c r="F599" s="477">
        <f t="shared" si="30"/>
        <v>0</v>
      </c>
      <c r="G599" s="954">
        <f t="shared" si="32"/>
        <v>0</v>
      </c>
      <c r="H599" s="957">
        <f t="shared" si="33"/>
        <v>0</v>
      </c>
      <c r="I599" s="516">
        <f t="shared" si="34"/>
        <v>0</v>
      </c>
      <c r="J599" s="516"/>
      <c r="K599" s="652"/>
      <c r="L599" s="522"/>
      <c r="M599" s="652"/>
      <c r="N599" s="522"/>
      <c r="O599" s="522"/>
    </row>
    <row r="600" spans="3:15">
      <c r="C600" s="512">
        <f>IF(D542="","-",+C599+1)</f>
        <v>2066</v>
      </c>
      <c r="D600" s="477">
        <f t="shared" si="31"/>
        <v>0</v>
      </c>
      <c r="E600" s="519">
        <f t="shared" si="35"/>
        <v>0</v>
      </c>
      <c r="F600" s="477">
        <f t="shared" si="30"/>
        <v>0</v>
      </c>
      <c r="G600" s="954">
        <f t="shared" si="32"/>
        <v>0</v>
      </c>
      <c r="H600" s="957">
        <f t="shared" si="33"/>
        <v>0</v>
      </c>
      <c r="I600" s="516">
        <f t="shared" si="34"/>
        <v>0</v>
      </c>
      <c r="J600" s="516"/>
      <c r="K600" s="652"/>
      <c r="L600" s="522"/>
      <c r="M600" s="652"/>
      <c r="N600" s="522"/>
      <c r="O600" s="522"/>
    </row>
    <row r="601" spans="3:15">
      <c r="C601" s="512">
        <f>IF(D542="","-",+C600+1)</f>
        <v>2067</v>
      </c>
      <c r="D601" s="477">
        <f t="shared" si="31"/>
        <v>0</v>
      </c>
      <c r="E601" s="519">
        <f t="shared" si="35"/>
        <v>0</v>
      </c>
      <c r="F601" s="477">
        <f t="shared" si="30"/>
        <v>0</v>
      </c>
      <c r="G601" s="954">
        <f t="shared" si="32"/>
        <v>0</v>
      </c>
      <c r="H601" s="957">
        <f t="shared" si="33"/>
        <v>0</v>
      </c>
      <c r="I601" s="516">
        <f t="shared" si="34"/>
        <v>0</v>
      </c>
      <c r="J601" s="516"/>
      <c r="K601" s="652"/>
      <c r="L601" s="522"/>
      <c r="M601" s="652"/>
      <c r="N601" s="522"/>
      <c r="O601" s="522"/>
    </row>
    <row r="602" spans="3:15">
      <c r="C602" s="512">
        <f>IF(D542="","-",+C601+1)</f>
        <v>2068</v>
      </c>
      <c r="D602" s="477">
        <f t="shared" si="31"/>
        <v>0</v>
      </c>
      <c r="E602" s="519">
        <f t="shared" si="35"/>
        <v>0</v>
      </c>
      <c r="F602" s="477">
        <f t="shared" si="30"/>
        <v>0</v>
      </c>
      <c r="G602" s="954">
        <f t="shared" si="32"/>
        <v>0</v>
      </c>
      <c r="H602" s="957">
        <f t="shared" si="33"/>
        <v>0</v>
      </c>
      <c r="I602" s="516">
        <f t="shared" si="34"/>
        <v>0</v>
      </c>
      <c r="J602" s="516"/>
      <c r="K602" s="652"/>
      <c r="L602" s="522"/>
      <c r="M602" s="652"/>
      <c r="N602" s="522"/>
      <c r="O602" s="522"/>
    </row>
    <row r="603" spans="3:15">
      <c r="C603" s="512">
        <f>IF(D542="","-",+C602+1)</f>
        <v>2069</v>
      </c>
      <c r="D603" s="477">
        <f t="shared" si="31"/>
        <v>0</v>
      </c>
      <c r="E603" s="519">
        <f t="shared" si="35"/>
        <v>0</v>
      </c>
      <c r="F603" s="477">
        <f t="shared" si="30"/>
        <v>0</v>
      </c>
      <c r="G603" s="954">
        <f t="shared" si="32"/>
        <v>0</v>
      </c>
      <c r="H603" s="957">
        <f t="shared" si="33"/>
        <v>0</v>
      </c>
      <c r="I603" s="516">
        <f t="shared" si="34"/>
        <v>0</v>
      </c>
      <c r="J603" s="516"/>
      <c r="K603" s="652"/>
      <c r="L603" s="522"/>
      <c r="M603" s="652"/>
      <c r="N603" s="522"/>
      <c r="O603" s="522"/>
    </row>
    <row r="604" spans="3:15">
      <c r="C604" s="512">
        <f>IF(D542="","-",+C603+1)</f>
        <v>2070</v>
      </c>
      <c r="D604" s="477">
        <f t="shared" si="31"/>
        <v>0</v>
      </c>
      <c r="E604" s="519">
        <f t="shared" si="35"/>
        <v>0</v>
      </c>
      <c r="F604" s="477">
        <f t="shared" si="30"/>
        <v>0</v>
      </c>
      <c r="G604" s="954">
        <f t="shared" si="32"/>
        <v>0</v>
      </c>
      <c r="H604" s="957">
        <f t="shared" si="33"/>
        <v>0</v>
      </c>
      <c r="I604" s="516">
        <f t="shared" si="34"/>
        <v>0</v>
      </c>
      <c r="J604" s="516"/>
      <c r="K604" s="652"/>
      <c r="L604" s="522"/>
      <c r="M604" s="652"/>
      <c r="N604" s="522"/>
      <c r="O604" s="522"/>
    </row>
    <row r="605" spans="3:15">
      <c r="C605" s="512">
        <f>IF(D542="","-",+C604+1)</f>
        <v>2071</v>
      </c>
      <c r="D605" s="477">
        <f t="shared" si="31"/>
        <v>0</v>
      </c>
      <c r="E605" s="519">
        <f t="shared" si="35"/>
        <v>0</v>
      </c>
      <c r="F605" s="477">
        <f t="shared" si="30"/>
        <v>0</v>
      </c>
      <c r="G605" s="954">
        <f t="shared" si="32"/>
        <v>0</v>
      </c>
      <c r="H605" s="957">
        <f t="shared" si="33"/>
        <v>0</v>
      </c>
      <c r="I605" s="516">
        <f t="shared" si="34"/>
        <v>0</v>
      </c>
      <c r="J605" s="516"/>
      <c r="K605" s="652"/>
      <c r="L605" s="522"/>
      <c r="M605" s="652"/>
      <c r="N605" s="522"/>
      <c r="O605" s="522"/>
    </row>
    <row r="606" spans="3:15">
      <c r="C606" s="512">
        <f>IF(D542="","-",+C605+1)</f>
        <v>2072</v>
      </c>
      <c r="D606" s="477">
        <f t="shared" si="31"/>
        <v>0</v>
      </c>
      <c r="E606" s="519">
        <f t="shared" si="35"/>
        <v>0</v>
      </c>
      <c r="F606" s="477">
        <f t="shared" si="30"/>
        <v>0</v>
      </c>
      <c r="G606" s="954">
        <f t="shared" si="32"/>
        <v>0</v>
      </c>
      <c r="H606" s="957">
        <f t="shared" si="33"/>
        <v>0</v>
      </c>
      <c r="I606" s="516">
        <f t="shared" si="34"/>
        <v>0</v>
      </c>
      <c r="J606" s="516"/>
      <c r="K606" s="652"/>
      <c r="L606" s="522"/>
      <c r="M606" s="652"/>
      <c r="N606" s="522"/>
      <c r="O606" s="522"/>
    </row>
    <row r="607" spans="3:15" ht="13.5" thickBot="1">
      <c r="C607" s="523">
        <f>IF(D542="","-",+C606+1)</f>
        <v>2073</v>
      </c>
      <c r="D607" s="524">
        <f t="shared" si="31"/>
        <v>0</v>
      </c>
      <c r="E607" s="525">
        <f t="shared" si="35"/>
        <v>0</v>
      </c>
      <c r="F607" s="524">
        <f t="shared" si="30"/>
        <v>0</v>
      </c>
      <c r="G607" s="966">
        <f t="shared" si="32"/>
        <v>0</v>
      </c>
      <c r="H607" s="966">
        <f t="shared" si="33"/>
        <v>0</v>
      </c>
      <c r="I607" s="527">
        <f t="shared" si="34"/>
        <v>0</v>
      </c>
      <c r="J607" s="516"/>
      <c r="K607" s="653"/>
      <c r="L607" s="529"/>
      <c r="M607" s="653"/>
      <c r="N607" s="529"/>
      <c r="O607" s="529"/>
    </row>
    <row r="608" spans="3:15">
      <c r="C608" s="477" t="s">
        <v>289</v>
      </c>
      <c r="D608" s="936"/>
      <c r="E608" s="936">
        <f>SUM(E548:E607)</f>
        <v>10386801</v>
      </c>
      <c r="F608" s="936"/>
      <c r="G608" s="936">
        <f>SUM(G548:G607)</f>
        <v>33271620.322529081</v>
      </c>
      <c r="H608" s="936">
        <f>SUM(H548:H607)</f>
        <v>33271620.322529081</v>
      </c>
      <c r="I608" s="936">
        <f>SUM(I548:I607)</f>
        <v>0</v>
      </c>
      <c r="J608" s="936"/>
      <c r="K608" s="936"/>
      <c r="L608" s="936"/>
      <c r="M608" s="936"/>
      <c r="N608" s="936"/>
      <c r="O608" s="4"/>
    </row>
    <row r="609" spans="1:16">
      <c r="D609" s="82"/>
      <c r="E609" s="4"/>
      <c r="F609" s="4"/>
      <c r="G609" s="4"/>
      <c r="H609" s="935"/>
      <c r="I609" s="935"/>
      <c r="J609" s="936"/>
      <c r="K609" s="935"/>
      <c r="L609" s="935"/>
      <c r="M609" s="935"/>
      <c r="N609" s="935"/>
      <c r="O609" s="4"/>
    </row>
    <row r="610" spans="1:16">
      <c r="C610" s="561" t="s">
        <v>931</v>
      </c>
      <c r="D610" s="82"/>
      <c r="E610" s="4"/>
      <c r="F610" s="4"/>
      <c r="G610" s="4"/>
      <c r="H610" s="935"/>
      <c r="I610" s="935"/>
      <c r="J610" s="936"/>
      <c r="K610" s="935"/>
      <c r="L610" s="935"/>
      <c r="M610" s="935"/>
      <c r="N610" s="935"/>
      <c r="O610" s="4"/>
    </row>
    <row r="611" spans="1:16">
      <c r="D611" s="82"/>
      <c r="E611" s="4"/>
      <c r="F611" s="4"/>
      <c r="G611" s="4"/>
      <c r="H611" s="935"/>
      <c r="I611" s="935"/>
      <c r="J611" s="936"/>
      <c r="K611" s="935"/>
      <c r="L611" s="935"/>
      <c r="M611" s="935"/>
      <c r="N611" s="935"/>
      <c r="O611" s="4"/>
    </row>
    <row r="612" spans="1:16">
      <c r="C612" s="489" t="s">
        <v>932</v>
      </c>
      <c r="D612" s="477"/>
      <c r="E612" s="477"/>
      <c r="F612" s="477"/>
      <c r="G612" s="936"/>
      <c r="H612" s="936"/>
      <c r="I612" s="479"/>
      <c r="J612" s="479"/>
      <c r="K612" s="479"/>
      <c r="L612" s="479"/>
      <c r="M612" s="479"/>
      <c r="N612" s="479"/>
      <c r="O612" s="4"/>
    </row>
    <row r="613" spans="1:16">
      <c r="C613" s="478" t="s">
        <v>477</v>
      </c>
      <c r="D613" s="477"/>
      <c r="E613" s="477"/>
      <c r="F613" s="477"/>
      <c r="G613" s="936"/>
      <c r="H613" s="936"/>
      <c r="I613" s="479"/>
      <c r="J613" s="479"/>
      <c r="K613" s="479"/>
      <c r="L613" s="479"/>
      <c r="M613" s="479"/>
      <c r="N613" s="479"/>
      <c r="O613" s="4"/>
    </row>
    <row r="614" spans="1:16">
      <c r="C614" s="478" t="s">
        <v>290</v>
      </c>
      <c r="D614" s="477"/>
      <c r="E614" s="477"/>
      <c r="F614" s="477"/>
      <c r="G614" s="936"/>
      <c r="H614" s="936"/>
      <c r="I614" s="479"/>
      <c r="J614" s="479"/>
      <c r="K614" s="479"/>
      <c r="L614" s="479"/>
      <c r="M614" s="479"/>
      <c r="N614" s="479"/>
      <c r="O614" s="4"/>
    </row>
    <row r="615" spans="1:16">
      <c r="C615" s="478"/>
      <c r="D615" s="477"/>
      <c r="E615" s="477"/>
      <c r="F615" s="477"/>
      <c r="G615" s="936"/>
      <c r="H615" s="936"/>
      <c r="I615" s="479"/>
      <c r="J615" s="479"/>
      <c r="K615" s="479"/>
      <c r="L615" s="479"/>
      <c r="M615" s="479"/>
      <c r="N615" s="479"/>
      <c r="O615" s="4"/>
    </row>
    <row r="616" spans="1:16">
      <c r="C616" s="1273" t="s">
        <v>461</v>
      </c>
      <c r="D616" s="1273"/>
      <c r="E616" s="1273"/>
      <c r="F616" s="1273"/>
      <c r="G616" s="1273"/>
      <c r="H616" s="1273"/>
      <c r="I616" s="1273"/>
      <c r="J616" s="1273"/>
      <c r="K616" s="1273"/>
      <c r="L616" s="1273"/>
      <c r="M616" s="1273"/>
      <c r="N616" s="1273"/>
      <c r="O616" s="1273"/>
    </row>
    <row r="617" spans="1:16">
      <c r="C617" s="1273"/>
      <c r="D617" s="1273"/>
      <c r="E617" s="1273"/>
      <c r="F617" s="1273"/>
      <c r="G617" s="1273"/>
      <c r="H617" s="1273"/>
      <c r="I617" s="1273"/>
      <c r="J617" s="1273"/>
      <c r="K617" s="1273"/>
      <c r="L617" s="1273"/>
      <c r="M617" s="1273"/>
      <c r="N617" s="1273"/>
      <c r="O617" s="1273"/>
    </row>
    <row r="618" spans="1:16" ht="20.25">
      <c r="A618" s="419" t="s">
        <v>928</v>
      </c>
      <c r="B618" s="4"/>
      <c r="C618" s="4"/>
      <c r="D618" s="82"/>
      <c r="E618" s="4"/>
      <c r="F618" s="84"/>
      <c r="G618" s="4"/>
      <c r="H618" s="935"/>
      <c r="K618" s="11"/>
      <c r="L618" s="11"/>
      <c r="M618" s="11"/>
      <c r="N618" s="11" t="str">
        <f>"Page "&amp;P618&amp;" of "</f>
        <v xml:space="preserve">Page 8 of </v>
      </c>
      <c r="O618" s="420">
        <f>COUNT(P$6:P$59527)</f>
        <v>9</v>
      </c>
      <c r="P618" s="4">
        <v>8</v>
      </c>
    </row>
    <row r="619" spans="1:16">
      <c r="B619" s="4"/>
      <c r="C619" s="4"/>
      <c r="D619" s="82"/>
      <c r="E619" s="4"/>
      <c r="F619" s="4"/>
      <c r="G619" s="4"/>
      <c r="H619" s="935"/>
      <c r="I619" s="4"/>
      <c r="J619" s="4"/>
      <c r="K619" s="4"/>
      <c r="L619" s="4"/>
      <c r="M619" s="4"/>
      <c r="N619" s="4"/>
      <c r="O619" s="4"/>
    </row>
    <row r="620" spans="1:16" ht="18">
      <c r="B620" s="421" t="s">
        <v>175</v>
      </c>
      <c r="C620" s="480" t="s">
        <v>291</v>
      </c>
      <c r="D620" s="82"/>
      <c r="E620" s="4"/>
      <c r="F620" s="4"/>
      <c r="G620" s="4"/>
      <c r="H620" s="935"/>
      <c r="I620" s="935"/>
      <c r="J620" s="936"/>
      <c r="K620" s="935"/>
      <c r="L620" s="935"/>
      <c r="M620" s="935"/>
      <c r="N620" s="935"/>
      <c r="O620" s="4"/>
    </row>
    <row r="621" spans="1:16" ht="18.75">
      <c r="B621" s="421"/>
      <c r="C621" s="13"/>
      <c r="D621" s="82"/>
      <c r="E621" s="4"/>
      <c r="F621" s="4"/>
      <c r="G621" s="4"/>
      <c r="H621" s="935"/>
      <c r="I621" s="935"/>
      <c r="J621" s="936"/>
      <c r="K621" s="935"/>
      <c r="L621" s="935"/>
      <c r="M621" s="935"/>
      <c r="N621" s="935"/>
      <c r="O621" s="4"/>
    </row>
    <row r="622" spans="1:16" ht="18.75">
      <c r="B622" s="421"/>
      <c r="C622" s="13" t="s">
        <v>292</v>
      </c>
      <c r="D622" s="82"/>
      <c r="E622" s="4"/>
      <c r="F622" s="4"/>
      <c r="G622" s="4"/>
      <c r="H622" s="935"/>
      <c r="I622" s="935"/>
      <c r="J622" s="936"/>
      <c r="K622" s="935"/>
      <c r="L622" s="935"/>
      <c r="M622" s="935"/>
      <c r="N622" s="935"/>
      <c r="O622" s="4"/>
    </row>
    <row r="623" spans="1:16" ht="15.75" thickBot="1">
      <c r="C623" s="254"/>
      <c r="D623" s="82"/>
      <c r="E623" s="4"/>
      <c r="F623" s="4"/>
      <c r="G623" s="4"/>
      <c r="H623" s="935"/>
      <c r="I623" s="935"/>
      <c r="J623" s="936"/>
      <c r="K623" s="935"/>
      <c r="L623" s="935"/>
      <c r="M623" s="935"/>
      <c r="N623" s="935"/>
      <c r="O623" s="4"/>
    </row>
    <row r="624" spans="1:16" ht="15.75">
      <c r="C624" s="422" t="s">
        <v>293</v>
      </c>
      <c r="D624" s="82"/>
      <c r="E624" s="4"/>
      <c r="F624" s="4"/>
      <c r="G624" s="937"/>
      <c r="H624" s="4" t="s">
        <v>272</v>
      </c>
      <c r="I624" s="4"/>
      <c r="J624" s="4"/>
      <c r="K624" s="481" t="s">
        <v>297</v>
      </c>
      <c r="L624" s="482"/>
      <c r="M624" s="483"/>
      <c r="N624" s="938">
        <f>VLOOKUP(I630,C637:O696,5)</f>
        <v>373717.95332369953</v>
      </c>
      <c r="O624" s="4"/>
    </row>
    <row r="625" spans="1:15" ht="15.75">
      <c r="C625" s="422"/>
      <c r="D625" s="82"/>
      <c r="E625" s="4"/>
      <c r="F625" s="4"/>
      <c r="G625" s="4"/>
      <c r="H625" s="939"/>
      <c r="I625" s="939"/>
      <c r="J625" s="940"/>
      <c r="K625" s="486" t="s">
        <v>298</v>
      </c>
      <c r="L625" s="941"/>
      <c r="M625" s="4"/>
      <c r="N625" s="942">
        <f>VLOOKUP(I630,C637:O696,6)</f>
        <v>373717.95332369953</v>
      </c>
      <c r="O625" s="4"/>
    </row>
    <row r="626" spans="1:15" ht="13.5" thickBot="1">
      <c r="C626" s="487" t="s">
        <v>294</v>
      </c>
      <c r="D626" s="1270" t="s">
        <v>938</v>
      </c>
      <c r="E626" s="1271"/>
      <c r="F626" s="1271"/>
      <c r="G626" s="1271"/>
      <c r="H626" s="1271"/>
      <c r="I626" s="1271"/>
      <c r="J626" s="936"/>
      <c r="K626" s="943" t="s">
        <v>451</v>
      </c>
      <c r="L626" s="944"/>
      <c r="M626" s="944"/>
      <c r="N626" s="945">
        <f>+N625-N624</f>
        <v>0</v>
      </c>
      <c r="O626" s="4"/>
    </row>
    <row r="627" spans="1:15">
      <c r="C627" s="489"/>
      <c r="D627" s="1271"/>
      <c r="E627" s="1271"/>
      <c r="F627" s="1271"/>
      <c r="G627" s="1271"/>
      <c r="H627" s="1271"/>
      <c r="I627" s="1271"/>
      <c r="J627" s="936"/>
      <c r="K627" s="935"/>
      <c r="L627" s="935"/>
      <c r="M627" s="935"/>
      <c r="N627" s="935"/>
      <c r="O627" s="4"/>
    </row>
    <row r="628" spans="1:15" ht="13.5" thickBot="1">
      <c r="C628" s="489"/>
      <c r="D628" s="4"/>
      <c r="E628" s="490"/>
      <c r="F628" s="490"/>
      <c r="G628" s="490"/>
      <c r="H628" s="490"/>
      <c r="I628" s="490"/>
      <c r="J628" s="490"/>
      <c r="K628" s="490"/>
      <c r="L628" s="490"/>
      <c r="M628" s="490"/>
      <c r="N628" s="490"/>
      <c r="O628" s="4"/>
    </row>
    <row r="629" spans="1:15" ht="13.5" thickBot="1">
      <c r="C629" s="491" t="s">
        <v>295</v>
      </c>
      <c r="D629" s="492"/>
      <c r="E629" s="492"/>
      <c r="F629" s="492"/>
      <c r="G629" s="492"/>
      <c r="H629" s="492"/>
      <c r="I629" s="493"/>
      <c r="K629" s="4"/>
      <c r="L629" s="4"/>
      <c r="M629" s="4"/>
      <c r="N629" s="4"/>
      <c r="O629" s="4"/>
    </row>
    <row r="630" spans="1:15" ht="15">
      <c r="C630" s="494" t="s">
        <v>273</v>
      </c>
      <c r="D630" s="946">
        <v>2809499</v>
      </c>
      <c r="E630" s="4" t="s">
        <v>274</v>
      </c>
      <c r="G630" s="82"/>
      <c r="H630" s="82"/>
      <c r="I630" s="495">
        <v>2018</v>
      </c>
      <c r="J630" s="138"/>
      <c r="K630" s="1272" t="s">
        <v>460</v>
      </c>
      <c r="L630" s="1272"/>
      <c r="M630" s="1272"/>
      <c r="N630" s="1272"/>
      <c r="O630" s="1272"/>
    </row>
    <row r="631" spans="1:15">
      <c r="C631" s="494" t="s">
        <v>276</v>
      </c>
      <c r="D631" s="647">
        <v>2016</v>
      </c>
      <c r="E631" s="494" t="s">
        <v>277</v>
      </c>
      <c r="F631" s="82"/>
      <c r="H631"/>
      <c r="I631" s="650">
        <f>IF(G624="",0,$F$15)</f>
        <v>0</v>
      </c>
      <c r="J631" s="496"/>
      <c r="K631" s="936" t="s">
        <v>460</v>
      </c>
    </row>
    <row r="632" spans="1:15">
      <c r="C632" s="494" t="s">
        <v>278</v>
      </c>
      <c r="D632" s="946">
        <v>12</v>
      </c>
      <c r="E632" s="494" t="s">
        <v>279</v>
      </c>
      <c r="F632" s="82"/>
      <c r="H632"/>
      <c r="I632" s="497">
        <f>$G$70</f>
        <v>0.11108872081308177</v>
      </c>
      <c r="J632" s="84"/>
      <c r="K632" t="str">
        <f>"          INPUT PROJECTED ARR (WITH &amp; WITHOUT INCENTIVES) FROM EACH PRIOR YEAR"</f>
        <v xml:space="preserve">          INPUT PROJECTED ARR (WITH &amp; WITHOUT INCENTIVES) FROM EACH PRIOR YEAR</v>
      </c>
    </row>
    <row r="633" spans="1:15">
      <c r="C633" s="494" t="s">
        <v>280</v>
      </c>
      <c r="D633" s="498">
        <f>G$79</f>
        <v>38</v>
      </c>
      <c r="E633" s="494" t="s">
        <v>281</v>
      </c>
      <c r="F633" s="82"/>
      <c r="H633"/>
      <c r="I633" s="497">
        <f>IF(G624="",I632,$G$67)</f>
        <v>0.11108872081308177</v>
      </c>
      <c r="J633" s="84"/>
      <c r="K633" t="s">
        <v>358</v>
      </c>
    </row>
    <row r="634" spans="1:15" ht="13.5" thickBot="1">
      <c r="C634" s="494" t="s">
        <v>282</v>
      </c>
      <c r="D634" s="649" t="s">
        <v>930</v>
      </c>
      <c r="E634" s="499" t="s">
        <v>283</v>
      </c>
      <c r="F634" s="500"/>
      <c r="G634" s="501"/>
      <c r="H634" s="501"/>
      <c r="I634" s="945">
        <f>IF(D630=0,0,D630/D633)</f>
        <v>73934.18421052632</v>
      </c>
      <c r="J634" s="936"/>
      <c r="K634" s="936" t="s">
        <v>364</v>
      </c>
      <c r="L634" s="936"/>
      <c r="M634" s="936"/>
      <c r="N634" s="936"/>
      <c r="O634" s="4"/>
    </row>
    <row r="635" spans="1:15" ht="51">
      <c r="A635" s="12"/>
      <c r="B635" s="12"/>
      <c r="C635" s="502" t="s">
        <v>273</v>
      </c>
      <c r="D635" s="947" t="s">
        <v>284</v>
      </c>
      <c r="E635" s="948" t="s">
        <v>285</v>
      </c>
      <c r="F635" s="947" t="s">
        <v>286</v>
      </c>
      <c r="G635" s="948" t="s">
        <v>357</v>
      </c>
      <c r="H635" s="949" t="s">
        <v>357</v>
      </c>
      <c r="I635" s="502" t="s">
        <v>296</v>
      </c>
      <c r="J635" s="506"/>
      <c r="K635" s="948" t="s">
        <v>366</v>
      </c>
      <c r="L635" s="950"/>
      <c r="M635" s="948" t="s">
        <v>366</v>
      </c>
      <c r="N635" s="950"/>
      <c r="O635" s="950"/>
    </row>
    <row r="636" spans="1:15" ht="13.5" thickBot="1">
      <c r="C636" s="507" t="s">
        <v>178</v>
      </c>
      <c r="D636" s="508" t="s">
        <v>179</v>
      </c>
      <c r="E636" s="507" t="s">
        <v>38</v>
      </c>
      <c r="F636" s="508" t="s">
        <v>179</v>
      </c>
      <c r="G636" s="951" t="s">
        <v>299</v>
      </c>
      <c r="H636" s="952" t="s">
        <v>301</v>
      </c>
      <c r="I636" s="507" t="s">
        <v>390</v>
      </c>
      <c r="J636" s="511"/>
      <c r="K636" s="951" t="s">
        <v>288</v>
      </c>
      <c r="L636" s="953"/>
      <c r="M636" s="951" t="s">
        <v>301</v>
      </c>
      <c r="N636" s="953"/>
      <c r="O636" s="953"/>
    </row>
    <row r="637" spans="1:15">
      <c r="C637" s="512">
        <f>IF(D631= "","-",D631)</f>
        <v>2016</v>
      </c>
      <c r="D637" s="477">
        <f>+D630</f>
        <v>2809499</v>
      </c>
      <c r="E637" s="954">
        <f>+I634/12*(12-D632)</f>
        <v>0</v>
      </c>
      <c r="F637" s="477">
        <f t="shared" ref="F637:F696" si="36">+D637-E637</f>
        <v>2809499</v>
      </c>
      <c r="G637" s="955">
        <f>+$I$632*((D637+F637)/2)+E637</f>
        <v>312103.65003563242</v>
      </c>
      <c r="H637" s="956">
        <f>+$I$633*((D637+F637)/2)+E637</f>
        <v>312103.65003563242</v>
      </c>
      <c r="I637" s="516">
        <f>+H637-G637</f>
        <v>0</v>
      </c>
      <c r="J637" s="516"/>
      <c r="K637" s="652">
        <v>486138</v>
      </c>
      <c r="L637" s="518"/>
      <c r="M637" s="652">
        <v>486138</v>
      </c>
      <c r="N637" s="518"/>
      <c r="O637" s="518"/>
    </row>
    <row r="638" spans="1:15">
      <c r="C638" s="512">
        <f>IF(D631="","-",+C637+1)</f>
        <v>2017</v>
      </c>
      <c r="D638" s="477">
        <f t="shared" ref="D638:D696" si="37">F637</f>
        <v>2809499</v>
      </c>
      <c r="E638" s="519">
        <f>IF(D638&gt;$I$634,$I$634,D638)</f>
        <v>73934.18421052632</v>
      </c>
      <c r="F638" s="477">
        <f t="shared" si="36"/>
        <v>2735564.8157894737</v>
      </c>
      <c r="G638" s="954">
        <f t="shared" ref="G638:G696" si="38">+$I$632*((D638+F638)/2)+E638</f>
        <v>381931.20727200573</v>
      </c>
      <c r="H638" s="957">
        <f t="shared" ref="H638:H696" si="39">+$I$633*((D638+F638)/2)+E638</f>
        <v>381931.20727200573</v>
      </c>
      <c r="I638" s="516">
        <f t="shared" ref="I638:I696" si="40">+H638-G638</f>
        <v>0</v>
      </c>
      <c r="J638" s="516"/>
      <c r="K638" s="652">
        <v>574408</v>
      </c>
      <c r="L638" s="522"/>
      <c r="M638" s="652">
        <v>574408</v>
      </c>
      <c r="N638" s="522"/>
      <c r="O638" s="522"/>
    </row>
    <row r="639" spans="1:15">
      <c r="C639" s="959">
        <f>IF(D631="","-",+C638+1)</f>
        <v>2018</v>
      </c>
      <c r="D639" s="960">
        <f t="shared" si="37"/>
        <v>2735564.8157894737</v>
      </c>
      <c r="E639" s="961">
        <f t="shared" ref="E639:E696" si="41">IF(D639&gt;$I$634,$I$634,D639)</f>
        <v>73934.18421052632</v>
      </c>
      <c r="F639" s="960">
        <f t="shared" si="36"/>
        <v>2661630.6315789474</v>
      </c>
      <c r="G639" s="962">
        <f t="shared" si="38"/>
        <v>373717.95332369953</v>
      </c>
      <c r="H639" s="963">
        <f t="shared" si="39"/>
        <v>373717.95332369953</v>
      </c>
      <c r="I639" s="964">
        <f t="shared" si="40"/>
        <v>0</v>
      </c>
      <c r="J639" s="516"/>
      <c r="K639" s="652"/>
      <c r="L639" s="522"/>
      <c r="M639" s="652"/>
      <c r="N639" s="522"/>
      <c r="O639" s="522"/>
    </row>
    <row r="640" spans="1:15">
      <c r="C640" s="512">
        <f>IF(D631="","-",+C639+1)</f>
        <v>2019</v>
      </c>
      <c r="D640" s="477">
        <f t="shared" si="37"/>
        <v>2661630.6315789474</v>
      </c>
      <c r="E640" s="519">
        <f t="shared" si="41"/>
        <v>73934.18421052632</v>
      </c>
      <c r="F640" s="477">
        <f t="shared" si="36"/>
        <v>2587696.4473684211</v>
      </c>
      <c r="G640" s="954">
        <f t="shared" si="38"/>
        <v>365504.69937539345</v>
      </c>
      <c r="H640" s="957">
        <f t="shared" si="39"/>
        <v>365504.69937539345</v>
      </c>
      <c r="I640" s="516">
        <f t="shared" si="40"/>
        <v>0</v>
      </c>
      <c r="J640" s="516"/>
      <c r="K640" s="652"/>
      <c r="L640" s="522"/>
      <c r="M640" s="652"/>
      <c r="N640" s="522"/>
      <c r="O640" s="522"/>
    </row>
    <row r="641" spans="3:15">
      <c r="C641" s="512">
        <f>IF(D631="","-",+C640+1)</f>
        <v>2020</v>
      </c>
      <c r="D641" s="477">
        <f t="shared" si="37"/>
        <v>2587696.4473684211</v>
      </c>
      <c r="E641" s="519">
        <f t="shared" si="41"/>
        <v>73934.18421052632</v>
      </c>
      <c r="F641" s="477">
        <f t="shared" si="36"/>
        <v>2513762.2631578948</v>
      </c>
      <c r="G641" s="954">
        <f t="shared" si="38"/>
        <v>357291.44542708737</v>
      </c>
      <c r="H641" s="957">
        <f t="shared" si="39"/>
        <v>357291.44542708737</v>
      </c>
      <c r="I641" s="516">
        <f t="shared" si="40"/>
        <v>0</v>
      </c>
      <c r="J641" s="516"/>
      <c r="K641" s="652"/>
      <c r="L641" s="522"/>
      <c r="M641" s="652"/>
      <c r="N641" s="522"/>
      <c r="O641" s="522"/>
    </row>
    <row r="642" spans="3:15">
      <c r="C642" s="512">
        <f>IF(D631="","-",+C641+1)</f>
        <v>2021</v>
      </c>
      <c r="D642" s="477">
        <f t="shared" si="37"/>
        <v>2513762.2631578948</v>
      </c>
      <c r="E642" s="519">
        <f t="shared" si="41"/>
        <v>73934.18421052632</v>
      </c>
      <c r="F642" s="477">
        <f t="shared" si="36"/>
        <v>2439828.0789473685</v>
      </c>
      <c r="G642" s="954">
        <f t="shared" si="38"/>
        <v>349078.19147878129</v>
      </c>
      <c r="H642" s="957">
        <f t="shared" si="39"/>
        <v>349078.19147878129</v>
      </c>
      <c r="I642" s="516">
        <f t="shared" si="40"/>
        <v>0</v>
      </c>
      <c r="J642" s="516"/>
      <c r="K642" s="652"/>
      <c r="L642" s="522"/>
      <c r="M642" s="652"/>
      <c r="N642" s="522"/>
      <c r="O642" s="522"/>
    </row>
    <row r="643" spans="3:15">
      <c r="C643" s="512">
        <f>IF(D631="","-",+C642+1)</f>
        <v>2022</v>
      </c>
      <c r="D643" s="477">
        <f t="shared" si="37"/>
        <v>2439828.0789473685</v>
      </c>
      <c r="E643" s="519">
        <f t="shared" si="41"/>
        <v>73934.18421052632</v>
      </c>
      <c r="F643" s="477">
        <f t="shared" si="36"/>
        <v>2365893.8947368423</v>
      </c>
      <c r="G643" s="954">
        <f t="shared" si="38"/>
        <v>340864.93753047509</v>
      </c>
      <c r="H643" s="957">
        <f t="shared" si="39"/>
        <v>340864.93753047509</v>
      </c>
      <c r="I643" s="516">
        <f t="shared" si="40"/>
        <v>0</v>
      </c>
      <c r="J643" s="516"/>
      <c r="K643" s="652"/>
      <c r="L643" s="522"/>
      <c r="M643" s="652"/>
      <c r="N643" s="522"/>
      <c r="O643" s="522"/>
    </row>
    <row r="644" spans="3:15">
      <c r="C644" s="512">
        <f>IF(D631="","-",+C643+1)</f>
        <v>2023</v>
      </c>
      <c r="D644" s="477">
        <f t="shared" si="37"/>
        <v>2365893.8947368423</v>
      </c>
      <c r="E644" s="519">
        <f t="shared" si="41"/>
        <v>73934.18421052632</v>
      </c>
      <c r="F644" s="477">
        <f t="shared" si="36"/>
        <v>2291959.710526316</v>
      </c>
      <c r="G644" s="954">
        <f t="shared" si="38"/>
        <v>332651.683582169</v>
      </c>
      <c r="H644" s="957">
        <f t="shared" si="39"/>
        <v>332651.683582169</v>
      </c>
      <c r="I644" s="516">
        <f t="shared" si="40"/>
        <v>0</v>
      </c>
      <c r="J644" s="516"/>
      <c r="K644" s="652"/>
      <c r="L644" s="522"/>
      <c r="M644" s="652"/>
      <c r="N644" s="522"/>
      <c r="O644" s="522"/>
    </row>
    <row r="645" spans="3:15">
      <c r="C645" s="512">
        <f>IF(D631="","-",+C644+1)</f>
        <v>2024</v>
      </c>
      <c r="D645" s="477">
        <f t="shared" si="37"/>
        <v>2291959.710526316</v>
      </c>
      <c r="E645" s="519">
        <f t="shared" si="41"/>
        <v>73934.18421052632</v>
      </c>
      <c r="F645" s="477">
        <f t="shared" si="36"/>
        <v>2218025.5263157897</v>
      </c>
      <c r="G645" s="954">
        <f t="shared" si="38"/>
        <v>324438.42963386286</v>
      </c>
      <c r="H645" s="957">
        <f t="shared" si="39"/>
        <v>324438.42963386286</v>
      </c>
      <c r="I645" s="516">
        <f t="shared" si="40"/>
        <v>0</v>
      </c>
      <c r="J645" s="516"/>
      <c r="K645" s="652"/>
      <c r="L645" s="522"/>
      <c r="M645" s="652"/>
      <c r="N645" s="522"/>
      <c r="O645" s="522"/>
    </row>
    <row r="646" spans="3:15">
      <c r="C646" s="512">
        <f>IF(D631="","-",+C645+1)</f>
        <v>2025</v>
      </c>
      <c r="D646" s="477">
        <f t="shared" si="37"/>
        <v>2218025.5263157897</v>
      </c>
      <c r="E646" s="519">
        <f t="shared" si="41"/>
        <v>73934.18421052632</v>
      </c>
      <c r="F646" s="477">
        <f t="shared" si="36"/>
        <v>2144091.3421052634</v>
      </c>
      <c r="G646" s="954">
        <f t="shared" si="38"/>
        <v>316225.17568555684</v>
      </c>
      <c r="H646" s="957">
        <f t="shared" si="39"/>
        <v>316225.17568555684</v>
      </c>
      <c r="I646" s="516">
        <f t="shared" si="40"/>
        <v>0</v>
      </c>
      <c r="J646" s="516"/>
      <c r="K646" s="652"/>
      <c r="L646" s="522"/>
      <c r="M646" s="652"/>
      <c r="N646" s="522"/>
      <c r="O646" s="522"/>
    </row>
    <row r="647" spans="3:15">
      <c r="C647" s="512">
        <f>IF(D631="","-",+C646+1)</f>
        <v>2026</v>
      </c>
      <c r="D647" s="477">
        <f t="shared" si="37"/>
        <v>2144091.3421052634</v>
      </c>
      <c r="E647" s="519">
        <f t="shared" si="41"/>
        <v>73934.18421052632</v>
      </c>
      <c r="F647" s="477">
        <f t="shared" si="36"/>
        <v>2070157.1578947371</v>
      </c>
      <c r="G647" s="954">
        <f t="shared" si="38"/>
        <v>308011.92173725064</v>
      </c>
      <c r="H647" s="957">
        <f t="shared" si="39"/>
        <v>308011.92173725064</v>
      </c>
      <c r="I647" s="516">
        <f t="shared" si="40"/>
        <v>0</v>
      </c>
      <c r="J647" s="516"/>
      <c r="K647" s="652"/>
      <c r="L647" s="522"/>
      <c r="M647" s="652"/>
      <c r="N647" s="522"/>
      <c r="O647" s="522"/>
    </row>
    <row r="648" spans="3:15">
      <c r="C648" s="512">
        <f>IF(D631="","-",+C647+1)</f>
        <v>2027</v>
      </c>
      <c r="D648" s="477">
        <f t="shared" si="37"/>
        <v>2070157.1578947371</v>
      </c>
      <c r="E648" s="519">
        <f t="shared" si="41"/>
        <v>73934.18421052632</v>
      </c>
      <c r="F648" s="477">
        <f t="shared" si="36"/>
        <v>1996222.9736842108</v>
      </c>
      <c r="G648" s="954">
        <f t="shared" si="38"/>
        <v>299798.66778894456</v>
      </c>
      <c r="H648" s="957">
        <f t="shared" si="39"/>
        <v>299798.66778894456</v>
      </c>
      <c r="I648" s="516">
        <f t="shared" si="40"/>
        <v>0</v>
      </c>
      <c r="J648" s="516"/>
      <c r="K648" s="652"/>
      <c r="L648" s="522"/>
      <c r="M648" s="652"/>
      <c r="N648" s="522"/>
      <c r="O648" s="522"/>
    </row>
    <row r="649" spans="3:15">
      <c r="C649" s="512">
        <f>IF(D631="","-",+C648+1)</f>
        <v>2028</v>
      </c>
      <c r="D649" s="477">
        <f t="shared" si="37"/>
        <v>1996222.9736842108</v>
      </c>
      <c r="E649" s="519">
        <f t="shared" si="41"/>
        <v>73934.18421052632</v>
      </c>
      <c r="F649" s="477">
        <f t="shared" si="36"/>
        <v>1922288.7894736845</v>
      </c>
      <c r="G649" s="954">
        <f t="shared" si="38"/>
        <v>291585.41384063847</v>
      </c>
      <c r="H649" s="957">
        <f t="shared" si="39"/>
        <v>291585.41384063847</v>
      </c>
      <c r="I649" s="516">
        <f t="shared" si="40"/>
        <v>0</v>
      </c>
      <c r="J649" s="516"/>
      <c r="K649" s="652"/>
      <c r="L649" s="522"/>
      <c r="M649" s="652"/>
      <c r="N649" s="522"/>
      <c r="O649" s="522"/>
    </row>
    <row r="650" spans="3:15">
      <c r="C650" s="512">
        <f>IF(D631="","-",+C649+1)</f>
        <v>2029</v>
      </c>
      <c r="D650" s="477">
        <f t="shared" si="37"/>
        <v>1922288.7894736845</v>
      </c>
      <c r="E650" s="519">
        <f t="shared" si="41"/>
        <v>73934.18421052632</v>
      </c>
      <c r="F650" s="477">
        <f t="shared" si="36"/>
        <v>1848354.6052631582</v>
      </c>
      <c r="G650" s="954">
        <f t="shared" si="38"/>
        <v>283372.15989233233</v>
      </c>
      <c r="H650" s="957">
        <f t="shared" si="39"/>
        <v>283372.15989233233</v>
      </c>
      <c r="I650" s="516">
        <f t="shared" si="40"/>
        <v>0</v>
      </c>
      <c r="J650" s="516"/>
      <c r="K650" s="652"/>
      <c r="L650" s="522"/>
      <c r="M650" s="652"/>
      <c r="N650" s="522"/>
      <c r="O650" s="522"/>
    </row>
    <row r="651" spans="3:15">
      <c r="C651" s="512">
        <f>IF(D631="","-",+C650+1)</f>
        <v>2030</v>
      </c>
      <c r="D651" s="477">
        <f t="shared" si="37"/>
        <v>1848354.6052631582</v>
      </c>
      <c r="E651" s="519">
        <f t="shared" si="41"/>
        <v>73934.18421052632</v>
      </c>
      <c r="F651" s="477">
        <f t="shared" si="36"/>
        <v>1774420.4210526319</v>
      </c>
      <c r="G651" s="954">
        <f t="shared" si="38"/>
        <v>275158.90594402619</v>
      </c>
      <c r="H651" s="957">
        <f t="shared" si="39"/>
        <v>275158.90594402619</v>
      </c>
      <c r="I651" s="516">
        <f t="shared" si="40"/>
        <v>0</v>
      </c>
      <c r="J651" s="516"/>
      <c r="K651" s="652"/>
      <c r="L651" s="522"/>
      <c r="M651" s="652"/>
      <c r="N651" s="522"/>
      <c r="O651" s="522"/>
    </row>
    <row r="652" spans="3:15">
      <c r="C652" s="512">
        <f>IF(D631="","-",+C651+1)</f>
        <v>2031</v>
      </c>
      <c r="D652" s="477">
        <f t="shared" si="37"/>
        <v>1774420.4210526319</v>
      </c>
      <c r="E652" s="519">
        <f t="shared" si="41"/>
        <v>73934.18421052632</v>
      </c>
      <c r="F652" s="477">
        <f t="shared" si="36"/>
        <v>1700486.2368421056</v>
      </c>
      <c r="G652" s="954">
        <f t="shared" si="38"/>
        <v>266945.65199572011</v>
      </c>
      <c r="H652" s="957">
        <f t="shared" si="39"/>
        <v>266945.65199572011</v>
      </c>
      <c r="I652" s="516">
        <f t="shared" si="40"/>
        <v>0</v>
      </c>
      <c r="J652" s="516"/>
      <c r="K652" s="652"/>
      <c r="L652" s="522"/>
      <c r="M652" s="652"/>
      <c r="N652" s="522"/>
      <c r="O652" s="522"/>
    </row>
    <row r="653" spans="3:15">
      <c r="C653" s="512">
        <f>IF(D631="","-",+C652+1)</f>
        <v>2032</v>
      </c>
      <c r="D653" s="477">
        <f t="shared" si="37"/>
        <v>1700486.2368421056</v>
      </c>
      <c r="E653" s="519">
        <f t="shared" si="41"/>
        <v>73934.18421052632</v>
      </c>
      <c r="F653" s="477">
        <f t="shared" si="36"/>
        <v>1626552.0526315793</v>
      </c>
      <c r="G653" s="954">
        <f t="shared" si="38"/>
        <v>258732.39804741397</v>
      </c>
      <c r="H653" s="957">
        <f t="shared" si="39"/>
        <v>258732.39804741397</v>
      </c>
      <c r="I653" s="516">
        <f t="shared" si="40"/>
        <v>0</v>
      </c>
      <c r="J653" s="516"/>
      <c r="K653" s="652"/>
      <c r="L653" s="522"/>
      <c r="M653" s="652"/>
      <c r="N653" s="522"/>
      <c r="O653" s="522"/>
    </row>
    <row r="654" spans="3:15">
      <c r="C654" s="512">
        <f>IF(D631="","-",+C653+1)</f>
        <v>2033</v>
      </c>
      <c r="D654" s="477">
        <f t="shared" si="37"/>
        <v>1626552.0526315793</v>
      </c>
      <c r="E654" s="519">
        <f t="shared" si="41"/>
        <v>73934.18421052632</v>
      </c>
      <c r="F654" s="477">
        <f t="shared" si="36"/>
        <v>1552617.868421053</v>
      </c>
      <c r="G654" s="954">
        <f t="shared" si="38"/>
        <v>250519.14409910786</v>
      </c>
      <c r="H654" s="957">
        <f t="shared" si="39"/>
        <v>250519.14409910786</v>
      </c>
      <c r="I654" s="516">
        <f t="shared" si="40"/>
        <v>0</v>
      </c>
      <c r="J654" s="516"/>
      <c r="K654" s="652"/>
      <c r="L654" s="522"/>
      <c r="M654" s="652"/>
      <c r="N654" s="522"/>
      <c r="O654" s="522"/>
    </row>
    <row r="655" spans="3:15">
      <c r="C655" s="512">
        <f>IF(D631="","-",+C654+1)</f>
        <v>2034</v>
      </c>
      <c r="D655" s="477">
        <f t="shared" si="37"/>
        <v>1552617.868421053</v>
      </c>
      <c r="E655" s="519">
        <f t="shared" si="41"/>
        <v>73934.18421052632</v>
      </c>
      <c r="F655" s="477">
        <f t="shared" si="36"/>
        <v>1478683.6842105268</v>
      </c>
      <c r="G655" s="954">
        <f t="shared" si="38"/>
        <v>242305.89015080174</v>
      </c>
      <c r="H655" s="957">
        <f t="shared" si="39"/>
        <v>242305.89015080174</v>
      </c>
      <c r="I655" s="516">
        <f t="shared" si="40"/>
        <v>0</v>
      </c>
      <c r="J655" s="516"/>
      <c r="K655" s="652"/>
      <c r="L655" s="522"/>
      <c r="M655" s="652"/>
      <c r="N655" s="522"/>
      <c r="O655" s="522"/>
    </row>
    <row r="656" spans="3:15">
      <c r="C656" s="512">
        <f>IF(D631="","-",+C655+1)</f>
        <v>2035</v>
      </c>
      <c r="D656" s="477">
        <f t="shared" si="37"/>
        <v>1478683.6842105268</v>
      </c>
      <c r="E656" s="519">
        <f t="shared" si="41"/>
        <v>73934.18421052632</v>
      </c>
      <c r="F656" s="477">
        <f t="shared" si="36"/>
        <v>1404749.5000000005</v>
      </c>
      <c r="G656" s="954">
        <f t="shared" si="38"/>
        <v>234092.63620249563</v>
      </c>
      <c r="H656" s="957">
        <f t="shared" si="39"/>
        <v>234092.63620249563</v>
      </c>
      <c r="I656" s="516">
        <f t="shared" si="40"/>
        <v>0</v>
      </c>
      <c r="J656" s="516"/>
      <c r="K656" s="652"/>
      <c r="L656" s="522"/>
      <c r="M656" s="652"/>
      <c r="N656" s="522"/>
      <c r="O656" s="522"/>
    </row>
    <row r="657" spans="3:15">
      <c r="C657" s="512">
        <f>IF(D631="","-",+C656+1)</f>
        <v>2036</v>
      </c>
      <c r="D657" s="477">
        <f t="shared" si="37"/>
        <v>1404749.5000000005</v>
      </c>
      <c r="E657" s="519">
        <f t="shared" si="41"/>
        <v>73934.18421052632</v>
      </c>
      <c r="F657" s="477">
        <f t="shared" si="36"/>
        <v>1330815.3157894742</v>
      </c>
      <c r="G657" s="954">
        <f t="shared" si="38"/>
        <v>225879.38225418952</v>
      </c>
      <c r="H657" s="957">
        <f t="shared" si="39"/>
        <v>225879.38225418952</v>
      </c>
      <c r="I657" s="516">
        <f t="shared" si="40"/>
        <v>0</v>
      </c>
      <c r="J657" s="516"/>
      <c r="K657" s="652"/>
      <c r="L657" s="522"/>
      <c r="M657" s="652"/>
      <c r="N657" s="522"/>
      <c r="O657" s="522"/>
    </row>
    <row r="658" spans="3:15">
      <c r="C658" s="512">
        <f>IF(D631="","-",+C657+1)</f>
        <v>2037</v>
      </c>
      <c r="D658" s="477">
        <f t="shared" si="37"/>
        <v>1330815.3157894742</v>
      </c>
      <c r="E658" s="519">
        <f t="shared" si="41"/>
        <v>73934.18421052632</v>
      </c>
      <c r="F658" s="477">
        <f t="shared" si="36"/>
        <v>1256881.1315789479</v>
      </c>
      <c r="G658" s="954">
        <f t="shared" si="38"/>
        <v>217666.12830588341</v>
      </c>
      <c r="H658" s="957">
        <f t="shared" si="39"/>
        <v>217666.12830588341</v>
      </c>
      <c r="I658" s="516">
        <f t="shared" si="40"/>
        <v>0</v>
      </c>
      <c r="J658" s="516"/>
      <c r="K658" s="652"/>
      <c r="L658" s="522"/>
      <c r="M658" s="652"/>
      <c r="N658" s="522"/>
      <c r="O658" s="522"/>
    </row>
    <row r="659" spans="3:15">
      <c r="C659" s="512">
        <f>IF(D631="","-",+C658+1)</f>
        <v>2038</v>
      </c>
      <c r="D659" s="477">
        <f t="shared" si="37"/>
        <v>1256881.1315789479</v>
      </c>
      <c r="E659" s="519">
        <f t="shared" si="41"/>
        <v>73934.18421052632</v>
      </c>
      <c r="F659" s="477">
        <f t="shared" si="36"/>
        <v>1182946.9473684216</v>
      </c>
      <c r="G659" s="954">
        <f t="shared" si="38"/>
        <v>209452.8743575773</v>
      </c>
      <c r="H659" s="957">
        <f t="shared" si="39"/>
        <v>209452.8743575773</v>
      </c>
      <c r="I659" s="516">
        <f t="shared" si="40"/>
        <v>0</v>
      </c>
      <c r="J659" s="516"/>
      <c r="K659" s="652"/>
      <c r="L659" s="522"/>
      <c r="M659" s="652"/>
      <c r="N659" s="522"/>
      <c r="O659" s="522"/>
    </row>
    <row r="660" spans="3:15">
      <c r="C660" s="512">
        <f>IF(D631="","-",+C659+1)</f>
        <v>2039</v>
      </c>
      <c r="D660" s="477">
        <f t="shared" si="37"/>
        <v>1182946.9473684216</v>
      </c>
      <c r="E660" s="519">
        <f t="shared" si="41"/>
        <v>73934.18421052632</v>
      </c>
      <c r="F660" s="477">
        <f t="shared" si="36"/>
        <v>1109012.7631578953</v>
      </c>
      <c r="G660" s="954">
        <f t="shared" si="38"/>
        <v>201239.62040927119</v>
      </c>
      <c r="H660" s="957">
        <f t="shared" si="39"/>
        <v>201239.62040927119</v>
      </c>
      <c r="I660" s="516">
        <f t="shared" si="40"/>
        <v>0</v>
      </c>
      <c r="J660" s="516"/>
      <c r="K660" s="652"/>
      <c r="L660" s="522"/>
      <c r="M660" s="652"/>
      <c r="N660" s="522"/>
      <c r="O660" s="522"/>
    </row>
    <row r="661" spans="3:15">
      <c r="C661" s="512">
        <f>IF(D631="","-",+C660+1)</f>
        <v>2040</v>
      </c>
      <c r="D661" s="477">
        <f t="shared" si="37"/>
        <v>1109012.7631578953</v>
      </c>
      <c r="E661" s="519">
        <f t="shared" si="41"/>
        <v>73934.18421052632</v>
      </c>
      <c r="F661" s="477">
        <f t="shared" si="36"/>
        <v>1035078.578947369</v>
      </c>
      <c r="G661" s="954">
        <f t="shared" si="38"/>
        <v>193026.36646096507</v>
      </c>
      <c r="H661" s="957">
        <f t="shared" si="39"/>
        <v>193026.36646096507</v>
      </c>
      <c r="I661" s="516">
        <f t="shared" si="40"/>
        <v>0</v>
      </c>
      <c r="J661" s="516"/>
      <c r="K661" s="652"/>
      <c r="L661" s="522"/>
      <c r="M661" s="652"/>
      <c r="N661" s="522"/>
      <c r="O661" s="522"/>
    </row>
    <row r="662" spans="3:15">
      <c r="C662" s="512">
        <f>IF(D631="","-",+C661+1)</f>
        <v>2041</v>
      </c>
      <c r="D662" s="477">
        <f t="shared" si="37"/>
        <v>1035078.578947369</v>
      </c>
      <c r="E662" s="519">
        <f t="shared" si="41"/>
        <v>73934.18421052632</v>
      </c>
      <c r="F662" s="477">
        <f t="shared" si="36"/>
        <v>961144.39473684272</v>
      </c>
      <c r="G662" s="954">
        <f t="shared" si="38"/>
        <v>184813.11251265896</v>
      </c>
      <c r="H662" s="957">
        <f t="shared" si="39"/>
        <v>184813.11251265896</v>
      </c>
      <c r="I662" s="516">
        <f t="shared" si="40"/>
        <v>0</v>
      </c>
      <c r="J662" s="516"/>
      <c r="K662" s="652"/>
      <c r="L662" s="522"/>
      <c r="M662" s="652"/>
      <c r="N662" s="522"/>
      <c r="O662" s="522"/>
    </row>
    <row r="663" spans="3:15">
      <c r="C663" s="512">
        <f>IF(D631="","-",+C662+1)</f>
        <v>2042</v>
      </c>
      <c r="D663" s="477">
        <f t="shared" si="37"/>
        <v>961144.39473684272</v>
      </c>
      <c r="E663" s="519">
        <f t="shared" si="41"/>
        <v>73934.18421052632</v>
      </c>
      <c r="F663" s="477">
        <f t="shared" si="36"/>
        <v>887210.21052631643</v>
      </c>
      <c r="G663" s="954">
        <f t="shared" si="38"/>
        <v>176599.85856435285</v>
      </c>
      <c r="H663" s="957">
        <f t="shared" si="39"/>
        <v>176599.85856435285</v>
      </c>
      <c r="I663" s="516">
        <f t="shared" si="40"/>
        <v>0</v>
      </c>
      <c r="J663" s="516"/>
      <c r="K663" s="652"/>
      <c r="L663" s="522"/>
      <c r="M663" s="652"/>
      <c r="N663" s="522"/>
      <c r="O663" s="522"/>
    </row>
    <row r="664" spans="3:15">
      <c r="C664" s="512">
        <f>IF(D631="","-",+C663+1)</f>
        <v>2043</v>
      </c>
      <c r="D664" s="477">
        <f t="shared" si="37"/>
        <v>887210.21052631643</v>
      </c>
      <c r="E664" s="519">
        <f t="shared" si="41"/>
        <v>73934.18421052632</v>
      </c>
      <c r="F664" s="477">
        <f t="shared" si="36"/>
        <v>813276.02631579014</v>
      </c>
      <c r="G664" s="954">
        <f t="shared" si="38"/>
        <v>168386.60461604674</v>
      </c>
      <c r="H664" s="957">
        <f t="shared" si="39"/>
        <v>168386.60461604674</v>
      </c>
      <c r="I664" s="516">
        <f t="shared" si="40"/>
        <v>0</v>
      </c>
      <c r="J664" s="516"/>
      <c r="K664" s="652"/>
      <c r="L664" s="522"/>
      <c r="M664" s="652"/>
      <c r="N664" s="522"/>
      <c r="O664" s="522"/>
    </row>
    <row r="665" spans="3:15">
      <c r="C665" s="512">
        <f>IF(D631="","-",+C664+1)</f>
        <v>2044</v>
      </c>
      <c r="D665" s="477">
        <f t="shared" si="37"/>
        <v>813276.02631579014</v>
      </c>
      <c r="E665" s="519">
        <f t="shared" si="41"/>
        <v>73934.18421052632</v>
      </c>
      <c r="F665" s="477">
        <f t="shared" si="36"/>
        <v>739341.84210526384</v>
      </c>
      <c r="G665" s="965">
        <f t="shared" si="38"/>
        <v>160173.35066774063</v>
      </c>
      <c r="H665" s="957">
        <f t="shared" si="39"/>
        <v>160173.35066774063</v>
      </c>
      <c r="I665" s="516">
        <f t="shared" si="40"/>
        <v>0</v>
      </c>
      <c r="J665" s="516"/>
      <c r="K665" s="652"/>
      <c r="L665" s="522"/>
      <c r="M665" s="652"/>
      <c r="N665" s="522"/>
      <c r="O665" s="522"/>
    </row>
    <row r="666" spans="3:15">
      <c r="C666" s="512">
        <f>IF(D631="","-",+C665+1)</f>
        <v>2045</v>
      </c>
      <c r="D666" s="477">
        <f t="shared" si="37"/>
        <v>739341.84210526384</v>
      </c>
      <c r="E666" s="519">
        <f t="shared" si="41"/>
        <v>73934.18421052632</v>
      </c>
      <c r="F666" s="477">
        <f t="shared" si="36"/>
        <v>665407.65789473755</v>
      </c>
      <c r="G666" s="954">
        <f t="shared" si="38"/>
        <v>151960.09671943448</v>
      </c>
      <c r="H666" s="957">
        <f t="shared" si="39"/>
        <v>151960.09671943448</v>
      </c>
      <c r="I666" s="516">
        <f t="shared" si="40"/>
        <v>0</v>
      </c>
      <c r="J666" s="516"/>
      <c r="K666" s="652"/>
      <c r="L666" s="522"/>
      <c r="M666" s="652"/>
      <c r="N666" s="522"/>
      <c r="O666" s="522"/>
    </row>
    <row r="667" spans="3:15">
      <c r="C667" s="512">
        <f>IF(D631="","-",+C666+1)</f>
        <v>2046</v>
      </c>
      <c r="D667" s="477">
        <f t="shared" si="37"/>
        <v>665407.65789473755</v>
      </c>
      <c r="E667" s="519">
        <f t="shared" si="41"/>
        <v>73934.18421052632</v>
      </c>
      <c r="F667" s="477">
        <f t="shared" si="36"/>
        <v>591473.47368421126</v>
      </c>
      <c r="G667" s="954">
        <f t="shared" si="38"/>
        <v>143746.8427711284</v>
      </c>
      <c r="H667" s="957">
        <f t="shared" si="39"/>
        <v>143746.8427711284</v>
      </c>
      <c r="I667" s="516">
        <f t="shared" si="40"/>
        <v>0</v>
      </c>
      <c r="J667" s="516"/>
      <c r="K667" s="652"/>
      <c r="L667" s="522"/>
      <c r="M667" s="652"/>
      <c r="N667" s="522"/>
      <c r="O667" s="522"/>
    </row>
    <row r="668" spans="3:15">
      <c r="C668" s="512">
        <f>IF(D631="","-",+C667+1)</f>
        <v>2047</v>
      </c>
      <c r="D668" s="477">
        <f t="shared" si="37"/>
        <v>591473.47368421126</v>
      </c>
      <c r="E668" s="519">
        <f t="shared" si="41"/>
        <v>73934.18421052632</v>
      </c>
      <c r="F668" s="477">
        <f t="shared" si="36"/>
        <v>517539.28947368497</v>
      </c>
      <c r="G668" s="954">
        <f t="shared" si="38"/>
        <v>135533.58882282226</v>
      </c>
      <c r="H668" s="957">
        <f t="shared" si="39"/>
        <v>135533.58882282226</v>
      </c>
      <c r="I668" s="516">
        <f t="shared" si="40"/>
        <v>0</v>
      </c>
      <c r="J668" s="516"/>
      <c r="K668" s="652"/>
      <c r="L668" s="522"/>
      <c r="M668" s="652"/>
      <c r="N668" s="522"/>
      <c r="O668" s="522"/>
    </row>
    <row r="669" spans="3:15">
      <c r="C669" s="512">
        <f>IF(D631="","-",+C668+1)</f>
        <v>2048</v>
      </c>
      <c r="D669" s="477">
        <f t="shared" si="37"/>
        <v>517539.28947368497</v>
      </c>
      <c r="E669" s="519">
        <f t="shared" si="41"/>
        <v>73934.18421052632</v>
      </c>
      <c r="F669" s="477">
        <f t="shared" si="36"/>
        <v>443605.10526315868</v>
      </c>
      <c r="G669" s="954">
        <f t="shared" si="38"/>
        <v>127320.33487451616</v>
      </c>
      <c r="H669" s="957">
        <f t="shared" si="39"/>
        <v>127320.33487451616</v>
      </c>
      <c r="I669" s="516">
        <f t="shared" si="40"/>
        <v>0</v>
      </c>
      <c r="J669" s="516"/>
      <c r="K669" s="652"/>
      <c r="L669" s="522"/>
      <c r="M669" s="652"/>
      <c r="N669" s="522"/>
      <c r="O669" s="522"/>
    </row>
    <row r="670" spans="3:15">
      <c r="C670" s="512">
        <f>IF(D631="","-",+C669+1)</f>
        <v>2049</v>
      </c>
      <c r="D670" s="477">
        <f t="shared" si="37"/>
        <v>443605.10526315868</v>
      </c>
      <c r="E670" s="519">
        <f t="shared" si="41"/>
        <v>73934.18421052632</v>
      </c>
      <c r="F670" s="477">
        <f t="shared" si="36"/>
        <v>369670.92105263239</v>
      </c>
      <c r="G670" s="954">
        <f t="shared" si="38"/>
        <v>119107.08092621005</v>
      </c>
      <c r="H670" s="957">
        <f t="shared" si="39"/>
        <v>119107.08092621005</v>
      </c>
      <c r="I670" s="516">
        <f t="shared" si="40"/>
        <v>0</v>
      </c>
      <c r="J670" s="516"/>
      <c r="K670" s="652"/>
      <c r="L670" s="522"/>
      <c r="M670" s="652"/>
      <c r="N670" s="522"/>
      <c r="O670" s="522"/>
    </row>
    <row r="671" spans="3:15">
      <c r="C671" s="512">
        <f>IF(D631="","-",+C670+1)</f>
        <v>2050</v>
      </c>
      <c r="D671" s="477">
        <f t="shared" si="37"/>
        <v>369670.92105263239</v>
      </c>
      <c r="E671" s="519">
        <f t="shared" si="41"/>
        <v>73934.18421052632</v>
      </c>
      <c r="F671" s="477">
        <f t="shared" si="36"/>
        <v>295736.7368421061</v>
      </c>
      <c r="G671" s="954">
        <f t="shared" si="38"/>
        <v>110893.82697790393</v>
      </c>
      <c r="H671" s="957">
        <f t="shared" si="39"/>
        <v>110893.82697790393</v>
      </c>
      <c r="I671" s="516">
        <f t="shared" si="40"/>
        <v>0</v>
      </c>
      <c r="J671" s="516"/>
      <c r="K671" s="652"/>
      <c r="L671" s="522"/>
      <c r="M671" s="652"/>
      <c r="N671" s="522"/>
      <c r="O671" s="522"/>
    </row>
    <row r="672" spans="3:15">
      <c r="C672" s="512">
        <f>IF(D631="","-",+C671+1)</f>
        <v>2051</v>
      </c>
      <c r="D672" s="477">
        <f t="shared" si="37"/>
        <v>295736.7368421061</v>
      </c>
      <c r="E672" s="519">
        <f t="shared" si="41"/>
        <v>73934.18421052632</v>
      </c>
      <c r="F672" s="477">
        <f t="shared" si="36"/>
        <v>221802.55263157978</v>
      </c>
      <c r="G672" s="954">
        <f t="shared" si="38"/>
        <v>102680.57302959781</v>
      </c>
      <c r="H672" s="957">
        <f t="shared" si="39"/>
        <v>102680.57302959781</v>
      </c>
      <c r="I672" s="516">
        <f t="shared" si="40"/>
        <v>0</v>
      </c>
      <c r="J672" s="516"/>
      <c r="K672" s="652"/>
      <c r="L672" s="522"/>
      <c r="M672" s="652"/>
      <c r="N672" s="522"/>
      <c r="O672" s="522"/>
    </row>
    <row r="673" spans="3:15">
      <c r="C673" s="512">
        <f>IF(D631="","-",+C672+1)</f>
        <v>2052</v>
      </c>
      <c r="D673" s="477">
        <f t="shared" si="37"/>
        <v>221802.55263157978</v>
      </c>
      <c r="E673" s="519">
        <f t="shared" si="41"/>
        <v>73934.18421052632</v>
      </c>
      <c r="F673" s="477">
        <f t="shared" si="36"/>
        <v>147868.36842105346</v>
      </c>
      <c r="G673" s="954">
        <f t="shared" si="38"/>
        <v>94467.319081291702</v>
      </c>
      <c r="H673" s="957">
        <f t="shared" si="39"/>
        <v>94467.319081291702</v>
      </c>
      <c r="I673" s="516">
        <f t="shared" si="40"/>
        <v>0</v>
      </c>
      <c r="J673" s="516"/>
      <c r="K673" s="652"/>
      <c r="L673" s="522"/>
      <c r="M673" s="652"/>
      <c r="N673" s="522"/>
      <c r="O673" s="522"/>
    </row>
    <row r="674" spans="3:15">
      <c r="C674" s="512">
        <f>IF(D631="","-",+C673+1)</f>
        <v>2053</v>
      </c>
      <c r="D674" s="477">
        <f t="shared" si="37"/>
        <v>147868.36842105346</v>
      </c>
      <c r="E674" s="519">
        <f t="shared" si="41"/>
        <v>73934.18421052632</v>
      </c>
      <c r="F674" s="477">
        <f t="shared" si="36"/>
        <v>73934.184210527135</v>
      </c>
      <c r="G674" s="954">
        <f t="shared" si="38"/>
        <v>86254.06513298559</v>
      </c>
      <c r="H674" s="957">
        <f t="shared" si="39"/>
        <v>86254.06513298559</v>
      </c>
      <c r="I674" s="516">
        <f t="shared" si="40"/>
        <v>0</v>
      </c>
      <c r="J674" s="516"/>
      <c r="K674" s="652"/>
      <c r="L674" s="522"/>
      <c r="M674" s="652"/>
      <c r="N674" s="522"/>
      <c r="O674" s="522"/>
    </row>
    <row r="675" spans="3:15">
      <c r="C675" s="512">
        <f>IF(D631="","-",+C674+1)</f>
        <v>2054</v>
      </c>
      <c r="D675" s="477">
        <f t="shared" si="37"/>
        <v>73934.184210527135</v>
      </c>
      <c r="E675" s="519">
        <f t="shared" si="41"/>
        <v>73934.18421052632</v>
      </c>
      <c r="F675" s="477">
        <f t="shared" si="36"/>
        <v>8.149072527885437E-10</v>
      </c>
      <c r="G675" s="954">
        <f t="shared" si="38"/>
        <v>78040.811184679464</v>
      </c>
      <c r="H675" s="957">
        <f t="shared" si="39"/>
        <v>78040.811184679464</v>
      </c>
      <c r="I675" s="516">
        <f t="shared" si="40"/>
        <v>0</v>
      </c>
      <c r="J675" s="516"/>
      <c r="K675" s="652"/>
      <c r="L675" s="522"/>
      <c r="M675" s="652"/>
      <c r="N675" s="522"/>
      <c r="O675" s="522"/>
    </row>
    <row r="676" spans="3:15">
      <c r="C676" s="512">
        <f>IF(D631="","-",+C675+1)</f>
        <v>2055</v>
      </c>
      <c r="D676" s="477">
        <f t="shared" si="37"/>
        <v>8.149072527885437E-10</v>
      </c>
      <c r="E676" s="519">
        <f t="shared" si="41"/>
        <v>8.149072527885437E-10</v>
      </c>
      <c r="F676" s="477">
        <f t="shared" si="36"/>
        <v>0</v>
      </c>
      <c r="G676" s="954">
        <f t="shared" si="38"/>
        <v>8.6017075493533473E-10</v>
      </c>
      <c r="H676" s="957">
        <f t="shared" si="39"/>
        <v>8.6017075493533473E-10</v>
      </c>
      <c r="I676" s="516">
        <f t="shared" si="40"/>
        <v>0</v>
      </c>
      <c r="J676" s="516"/>
      <c r="K676" s="652"/>
      <c r="L676" s="522"/>
      <c r="M676" s="652"/>
      <c r="N676" s="522"/>
      <c r="O676" s="522"/>
    </row>
    <row r="677" spans="3:15">
      <c r="C677" s="512">
        <f>IF(D631="","-",+C676+1)</f>
        <v>2056</v>
      </c>
      <c r="D677" s="477">
        <f t="shared" si="37"/>
        <v>0</v>
      </c>
      <c r="E677" s="519">
        <f t="shared" si="41"/>
        <v>0</v>
      </c>
      <c r="F677" s="477">
        <f t="shared" si="36"/>
        <v>0</v>
      </c>
      <c r="G677" s="954">
        <f t="shared" si="38"/>
        <v>0</v>
      </c>
      <c r="H677" s="957">
        <f t="shared" si="39"/>
        <v>0</v>
      </c>
      <c r="I677" s="516">
        <f t="shared" si="40"/>
        <v>0</v>
      </c>
      <c r="J677" s="516"/>
      <c r="K677" s="652"/>
      <c r="L677" s="522"/>
      <c r="M677" s="652"/>
      <c r="N677" s="522"/>
      <c r="O677" s="522"/>
    </row>
    <row r="678" spans="3:15">
      <c r="C678" s="512">
        <f>IF(D631="","-",+C677+1)</f>
        <v>2057</v>
      </c>
      <c r="D678" s="477">
        <f t="shared" si="37"/>
        <v>0</v>
      </c>
      <c r="E678" s="519">
        <f t="shared" si="41"/>
        <v>0</v>
      </c>
      <c r="F678" s="477">
        <f t="shared" si="36"/>
        <v>0</v>
      </c>
      <c r="G678" s="954">
        <f t="shared" si="38"/>
        <v>0</v>
      </c>
      <c r="H678" s="957">
        <f t="shared" si="39"/>
        <v>0</v>
      </c>
      <c r="I678" s="516">
        <f t="shared" si="40"/>
        <v>0</v>
      </c>
      <c r="J678" s="516"/>
      <c r="K678" s="652"/>
      <c r="L678" s="522"/>
      <c r="M678" s="652"/>
      <c r="N678" s="522"/>
      <c r="O678" s="522"/>
    </row>
    <row r="679" spans="3:15">
      <c r="C679" s="512">
        <f>IF(D631="","-",+C678+1)</f>
        <v>2058</v>
      </c>
      <c r="D679" s="477">
        <f t="shared" si="37"/>
        <v>0</v>
      </c>
      <c r="E679" s="519">
        <f t="shared" si="41"/>
        <v>0</v>
      </c>
      <c r="F679" s="477">
        <f t="shared" si="36"/>
        <v>0</v>
      </c>
      <c r="G679" s="954">
        <f t="shared" si="38"/>
        <v>0</v>
      </c>
      <c r="H679" s="957">
        <f t="shared" si="39"/>
        <v>0</v>
      </c>
      <c r="I679" s="516">
        <f t="shared" si="40"/>
        <v>0</v>
      </c>
      <c r="J679" s="516"/>
      <c r="K679" s="652"/>
      <c r="L679" s="522"/>
      <c r="M679" s="652"/>
      <c r="N679" s="522"/>
      <c r="O679" s="522"/>
    </row>
    <row r="680" spans="3:15">
      <c r="C680" s="512">
        <f>IF(D631="","-",+C679+1)</f>
        <v>2059</v>
      </c>
      <c r="D680" s="477">
        <f t="shared" si="37"/>
        <v>0</v>
      </c>
      <c r="E680" s="519">
        <f t="shared" si="41"/>
        <v>0</v>
      </c>
      <c r="F680" s="477">
        <f t="shared" si="36"/>
        <v>0</v>
      </c>
      <c r="G680" s="954">
        <f t="shared" si="38"/>
        <v>0</v>
      </c>
      <c r="H680" s="957">
        <f t="shared" si="39"/>
        <v>0</v>
      </c>
      <c r="I680" s="516">
        <f t="shared" si="40"/>
        <v>0</v>
      </c>
      <c r="J680" s="516"/>
      <c r="K680" s="652"/>
      <c r="L680" s="522"/>
      <c r="M680" s="652"/>
      <c r="N680" s="522"/>
      <c r="O680" s="522"/>
    </row>
    <row r="681" spans="3:15">
      <c r="C681" s="512">
        <f>IF(D631="","-",+C680+1)</f>
        <v>2060</v>
      </c>
      <c r="D681" s="477">
        <f t="shared" si="37"/>
        <v>0</v>
      </c>
      <c r="E681" s="519">
        <f t="shared" si="41"/>
        <v>0</v>
      </c>
      <c r="F681" s="477">
        <f t="shared" si="36"/>
        <v>0</v>
      </c>
      <c r="G681" s="954">
        <f t="shared" si="38"/>
        <v>0</v>
      </c>
      <c r="H681" s="957">
        <f t="shared" si="39"/>
        <v>0</v>
      </c>
      <c r="I681" s="516">
        <f t="shared" si="40"/>
        <v>0</v>
      </c>
      <c r="J681" s="516"/>
      <c r="K681" s="652"/>
      <c r="L681" s="522"/>
      <c r="M681" s="652"/>
      <c r="N681" s="522"/>
      <c r="O681" s="522"/>
    </row>
    <row r="682" spans="3:15">
      <c r="C682" s="512">
        <f>IF(D631="","-",+C681+1)</f>
        <v>2061</v>
      </c>
      <c r="D682" s="477">
        <f t="shared" si="37"/>
        <v>0</v>
      </c>
      <c r="E682" s="519">
        <f t="shared" si="41"/>
        <v>0</v>
      </c>
      <c r="F682" s="477">
        <f t="shared" si="36"/>
        <v>0</v>
      </c>
      <c r="G682" s="954">
        <f t="shared" si="38"/>
        <v>0</v>
      </c>
      <c r="H682" s="957">
        <f t="shared" si="39"/>
        <v>0</v>
      </c>
      <c r="I682" s="516">
        <f t="shared" si="40"/>
        <v>0</v>
      </c>
      <c r="J682" s="516"/>
      <c r="K682" s="652"/>
      <c r="L682" s="522"/>
      <c r="M682" s="652"/>
      <c r="N682" s="522"/>
      <c r="O682" s="522"/>
    </row>
    <row r="683" spans="3:15">
      <c r="C683" s="512">
        <f>IF(D631="","-",+C682+1)</f>
        <v>2062</v>
      </c>
      <c r="D683" s="477">
        <f t="shared" si="37"/>
        <v>0</v>
      </c>
      <c r="E683" s="519">
        <f t="shared" si="41"/>
        <v>0</v>
      </c>
      <c r="F683" s="477">
        <f t="shared" si="36"/>
        <v>0</v>
      </c>
      <c r="G683" s="954">
        <f t="shared" si="38"/>
        <v>0</v>
      </c>
      <c r="H683" s="957">
        <f t="shared" si="39"/>
        <v>0</v>
      </c>
      <c r="I683" s="516">
        <f t="shared" si="40"/>
        <v>0</v>
      </c>
      <c r="J683" s="516"/>
      <c r="K683" s="652"/>
      <c r="L683" s="522"/>
      <c r="M683" s="652"/>
      <c r="N683" s="522"/>
      <c r="O683" s="522"/>
    </row>
    <row r="684" spans="3:15">
      <c r="C684" s="512">
        <f>IF(D631="","-",+C683+1)</f>
        <v>2063</v>
      </c>
      <c r="D684" s="477">
        <f t="shared" si="37"/>
        <v>0</v>
      </c>
      <c r="E684" s="519">
        <f t="shared" si="41"/>
        <v>0</v>
      </c>
      <c r="F684" s="477">
        <f t="shared" si="36"/>
        <v>0</v>
      </c>
      <c r="G684" s="954">
        <f t="shared" si="38"/>
        <v>0</v>
      </c>
      <c r="H684" s="957">
        <f t="shared" si="39"/>
        <v>0</v>
      </c>
      <c r="I684" s="516">
        <f t="shared" si="40"/>
        <v>0</v>
      </c>
      <c r="J684" s="516"/>
      <c r="K684" s="652"/>
      <c r="L684" s="522"/>
      <c r="M684" s="652"/>
      <c r="N684" s="522"/>
      <c r="O684" s="522"/>
    </row>
    <row r="685" spans="3:15">
      <c r="C685" s="512">
        <f>IF(D631="","-",+C684+1)</f>
        <v>2064</v>
      </c>
      <c r="D685" s="477">
        <f t="shared" si="37"/>
        <v>0</v>
      </c>
      <c r="E685" s="519">
        <f t="shared" si="41"/>
        <v>0</v>
      </c>
      <c r="F685" s="477">
        <f t="shared" si="36"/>
        <v>0</v>
      </c>
      <c r="G685" s="954">
        <f t="shared" si="38"/>
        <v>0</v>
      </c>
      <c r="H685" s="957">
        <f t="shared" si="39"/>
        <v>0</v>
      </c>
      <c r="I685" s="516">
        <f t="shared" si="40"/>
        <v>0</v>
      </c>
      <c r="J685" s="516"/>
      <c r="K685" s="652"/>
      <c r="L685" s="522"/>
      <c r="M685" s="652"/>
      <c r="N685" s="522"/>
      <c r="O685" s="522"/>
    </row>
    <row r="686" spans="3:15">
      <c r="C686" s="512">
        <f>IF(D631="","-",+C685+1)</f>
        <v>2065</v>
      </c>
      <c r="D686" s="477">
        <f t="shared" si="37"/>
        <v>0</v>
      </c>
      <c r="E686" s="519">
        <f t="shared" si="41"/>
        <v>0</v>
      </c>
      <c r="F686" s="477">
        <f t="shared" si="36"/>
        <v>0</v>
      </c>
      <c r="G686" s="954">
        <f t="shared" si="38"/>
        <v>0</v>
      </c>
      <c r="H686" s="957">
        <f t="shared" si="39"/>
        <v>0</v>
      </c>
      <c r="I686" s="516">
        <f t="shared" si="40"/>
        <v>0</v>
      </c>
      <c r="J686" s="516"/>
      <c r="K686" s="652"/>
      <c r="L686" s="522"/>
      <c r="M686" s="652"/>
      <c r="N686" s="522"/>
      <c r="O686" s="522"/>
    </row>
    <row r="687" spans="3:15">
      <c r="C687" s="512">
        <f>IF(D631="","-",+C686+1)</f>
        <v>2066</v>
      </c>
      <c r="D687" s="477">
        <f t="shared" si="37"/>
        <v>0</v>
      </c>
      <c r="E687" s="519">
        <f t="shared" si="41"/>
        <v>0</v>
      </c>
      <c r="F687" s="477">
        <f t="shared" si="36"/>
        <v>0</v>
      </c>
      <c r="G687" s="954">
        <f t="shared" si="38"/>
        <v>0</v>
      </c>
      <c r="H687" s="957">
        <f t="shared" si="39"/>
        <v>0</v>
      </c>
      <c r="I687" s="516">
        <f t="shared" si="40"/>
        <v>0</v>
      </c>
      <c r="J687" s="516"/>
      <c r="K687" s="652"/>
      <c r="L687" s="522"/>
      <c r="M687" s="652"/>
      <c r="N687" s="522"/>
      <c r="O687" s="522"/>
    </row>
    <row r="688" spans="3:15">
      <c r="C688" s="512">
        <f>IF(D631="","-",+C687+1)</f>
        <v>2067</v>
      </c>
      <c r="D688" s="477">
        <f t="shared" si="37"/>
        <v>0</v>
      </c>
      <c r="E688" s="519">
        <f t="shared" si="41"/>
        <v>0</v>
      </c>
      <c r="F688" s="477">
        <f t="shared" si="36"/>
        <v>0</v>
      </c>
      <c r="G688" s="954">
        <f t="shared" si="38"/>
        <v>0</v>
      </c>
      <c r="H688" s="957">
        <f t="shared" si="39"/>
        <v>0</v>
      </c>
      <c r="I688" s="516">
        <f t="shared" si="40"/>
        <v>0</v>
      </c>
      <c r="J688" s="516"/>
      <c r="K688" s="652"/>
      <c r="L688" s="522"/>
      <c r="M688" s="652"/>
      <c r="N688" s="522"/>
      <c r="O688" s="522"/>
    </row>
    <row r="689" spans="3:15">
      <c r="C689" s="512">
        <f>IF(D631="","-",+C688+1)</f>
        <v>2068</v>
      </c>
      <c r="D689" s="477">
        <f t="shared" si="37"/>
        <v>0</v>
      </c>
      <c r="E689" s="519">
        <f t="shared" si="41"/>
        <v>0</v>
      </c>
      <c r="F689" s="477">
        <f t="shared" si="36"/>
        <v>0</v>
      </c>
      <c r="G689" s="954">
        <f t="shared" si="38"/>
        <v>0</v>
      </c>
      <c r="H689" s="957">
        <f t="shared" si="39"/>
        <v>0</v>
      </c>
      <c r="I689" s="516">
        <f t="shared" si="40"/>
        <v>0</v>
      </c>
      <c r="J689" s="516"/>
      <c r="K689" s="652"/>
      <c r="L689" s="522"/>
      <c r="M689" s="652"/>
      <c r="N689" s="522"/>
      <c r="O689" s="522"/>
    </row>
    <row r="690" spans="3:15">
      <c r="C690" s="512">
        <f>IF(D631="","-",+C689+1)</f>
        <v>2069</v>
      </c>
      <c r="D690" s="477">
        <f t="shared" si="37"/>
        <v>0</v>
      </c>
      <c r="E690" s="519">
        <f t="shared" si="41"/>
        <v>0</v>
      </c>
      <c r="F690" s="477">
        <f t="shared" si="36"/>
        <v>0</v>
      </c>
      <c r="G690" s="954">
        <f t="shared" si="38"/>
        <v>0</v>
      </c>
      <c r="H690" s="957">
        <f t="shared" si="39"/>
        <v>0</v>
      </c>
      <c r="I690" s="516">
        <f t="shared" si="40"/>
        <v>0</v>
      </c>
      <c r="J690" s="516"/>
      <c r="K690" s="652"/>
      <c r="L690" s="522"/>
      <c r="M690" s="652"/>
      <c r="N690" s="522"/>
      <c r="O690" s="522"/>
    </row>
    <row r="691" spans="3:15">
      <c r="C691" s="512">
        <f>IF(D631="","-",+C690+1)</f>
        <v>2070</v>
      </c>
      <c r="D691" s="477">
        <f t="shared" si="37"/>
        <v>0</v>
      </c>
      <c r="E691" s="519">
        <f t="shared" si="41"/>
        <v>0</v>
      </c>
      <c r="F691" s="477">
        <f t="shared" si="36"/>
        <v>0</v>
      </c>
      <c r="G691" s="954">
        <f t="shared" si="38"/>
        <v>0</v>
      </c>
      <c r="H691" s="957">
        <f t="shared" si="39"/>
        <v>0</v>
      </c>
      <c r="I691" s="516">
        <f t="shared" si="40"/>
        <v>0</v>
      </c>
      <c r="J691" s="516"/>
      <c r="K691" s="652"/>
      <c r="L691" s="522"/>
      <c r="M691" s="652"/>
      <c r="N691" s="522"/>
      <c r="O691" s="522"/>
    </row>
    <row r="692" spans="3:15">
      <c r="C692" s="512">
        <f>IF(D631="","-",+C691+1)</f>
        <v>2071</v>
      </c>
      <c r="D692" s="477">
        <f t="shared" si="37"/>
        <v>0</v>
      </c>
      <c r="E692" s="519">
        <f t="shared" si="41"/>
        <v>0</v>
      </c>
      <c r="F692" s="477">
        <f t="shared" si="36"/>
        <v>0</v>
      </c>
      <c r="G692" s="954">
        <f t="shared" si="38"/>
        <v>0</v>
      </c>
      <c r="H692" s="957">
        <f t="shared" si="39"/>
        <v>0</v>
      </c>
      <c r="I692" s="516">
        <f t="shared" si="40"/>
        <v>0</v>
      </c>
      <c r="J692" s="516"/>
      <c r="K692" s="652"/>
      <c r="L692" s="522"/>
      <c r="M692" s="652"/>
      <c r="N692" s="522"/>
      <c r="O692" s="522"/>
    </row>
    <row r="693" spans="3:15">
      <c r="C693" s="512">
        <f>IF(D631="","-",+C692+1)</f>
        <v>2072</v>
      </c>
      <c r="D693" s="477">
        <f t="shared" si="37"/>
        <v>0</v>
      </c>
      <c r="E693" s="519">
        <f t="shared" si="41"/>
        <v>0</v>
      </c>
      <c r="F693" s="477">
        <f t="shared" si="36"/>
        <v>0</v>
      </c>
      <c r="G693" s="954">
        <f t="shared" si="38"/>
        <v>0</v>
      </c>
      <c r="H693" s="957">
        <f t="shared" si="39"/>
        <v>0</v>
      </c>
      <c r="I693" s="516">
        <f t="shared" si="40"/>
        <v>0</v>
      </c>
      <c r="J693" s="516"/>
      <c r="K693" s="652"/>
      <c r="L693" s="522"/>
      <c r="M693" s="652"/>
      <c r="N693" s="522"/>
      <c r="O693" s="522"/>
    </row>
    <row r="694" spans="3:15">
      <c r="C694" s="512">
        <f>IF(D631="","-",+C693+1)</f>
        <v>2073</v>
      </c>
      <c r="D694" s="477">
        <f t="shared" si="37"/>
        <v>0</v>
      </c>
      <c r="E694" s="519">
        <f t="shared" si="41"/>
        <v>0</v>
      </c>
      <c r="F694" s="477">
        <f t="shared" si="36"/>
        <v>0</v>
      </c>
      <c r="G694" s="954">
        <f t="shared" si="38"/>
        <v>0</v>
      </c>
      <c r="H694" s="957">
        <f t="shared" si="39"/>
        <v>0</v>
      </c>
      <c r="I694" s="516">
        <f t="shared" si="40"/>
        <v>0</v>
      </c>
      <c r="J694" s="516"/>
      <c r="K694" s="652"/>
      <c r="L694" s="522"/>
      <c r="M694" s="652"/>
      <c r="N694" s="522"/>
      <c r="O694" s="522"/>
    </row>
    <row r="695" spans="3:15">
      <c r="C695" s="512">
        <f>IF(D631="","-",+C694+1)</f>
        <v>2074</v>
      </c>
      <c r="D695" s="477">
        <f t="shared" si="37"/>
        <v>0</v>
      </c>
      <c r="E695" s="519">
        <f t="shared" si="41"/>
        <v>0</v>
      </c>
      <c r="F695" s="477">
        <f t="shared" si="36"/>
        <v>0</v>
      </c>
      <c r="G695" s="954">
        <f t="shared" si="38"/>
        <v>0</v>
      </c>
      <c r="H695" s="957">
        <f t="shared" si="39"/>
        <v>0</v>
      </c>
      <c r="I695" s="516">
        <f t="shared" si="40"/>
        <v>0</v>
      </c>
      <c r="J695" s="516"/>
      <c r="K695" s="652"/>
      <c r="L695" s="522"/>
      <c r="M695" s="652"/>
      <c r="N695" s="522"/>
      <c r="O695" s="522"/>
    </row>
    <row r="696" spans="3:15" ht="13.5" thickBot="1">
      <c r="C696" s="523">
        <f>IF(D631="","-",+C695+1)</f>
        <v>2075</v>
      </c>
      <c r="D696" s="524">
        <f t="shared" si="37"/>
        <v>0</v>
      </c>
      <c r="E696" s="525">
        <f t="shared" si="41"/>
        <v>0</v>
      </c>
      <c r="F696" s="524">
        <f t="shared" si="36"/>
        <v>0</v>
      </c>
      <c r="G696" s="966">
        <f t="shared" si="38"/>
        <v>0</v>
      </c>
      <c r="H696" s="966">
        <f t="shared" si="39"/>
        <v>0</v>
      </c>
      <c r="I696" s="527">
        <f t="shared" si="40"/>
        <v>0</v>
      </c>
      <c r="J696" s="516"/>
      <c r="K696" s="653"/>
      <c r="L696" s="529"/>
      <c r="M696" s="653"/>
      <c r="N696" s="529"/>
      <c r="O696" s="529"/>
    </row>
    <row r="697" spans="3:15">
      <c r="C697" s="477" t="s">
        <v>289</v>
      </c>
      <c r="D697" s="936"/>
      <c r="E697" s="936">
        <f>SUM(E637:E696)</f>
        <v>2809499.0000000005</v>
      </c>
      <c r="F697" s="936"/>
      <c r="G697" s="936">
        <f>SUM(G637:G696)</f>
        <v>9051572.000712648</v>
      </c>
      <c r="H697" s="936">
        <f>SUM(H637:H696)</f>
        <v>9051572.000712648</v>
      </c>
      <c r="I697" s="936">
        <f>SUM(I637:I696)</f>
        <v>0</v>
      </c>
      <c r="J697" s="936"/>
      <c r="K697" s="936"/>
      <c r="L697" s="936"/>
      <c r="M697" s="936"/>
      <c r="N697" s="936"/>
      <c r="O697" s="4"/>
    </row>
    <row r="698" spans="3:15">
      <c r="D698" s="82"/>
      <c r="E698" s="4"/>
      <c r="F698" s="4"/>
      <c r="G698" s="4"/>
      <c r="H698" s="935"/>
      <c r="I698" s="935"/>
      <c r="J698" s="936"/>
      <c r="K698" s="935"/>
      <c r="L698" s="935"/>
      <c r="M698" s="935"/>
      <c r="N698" s="935"/>
      <c r="O698" s="4"/>
    </row>
    <row r="699" spans="3:15">
      <c r="C699" s="561" t="s">
        <v>931</v>
      </c>
      <c r="D699" s="82"/>
      <c r="E699" s="4"/>
      <c r="F699" s="4"/>
      <c r="G699" s="4"/>
      <c r="H699" s="935"/>
      <c r="I699" s="935"/>
      <c r="J699" s="936"/>
      <c r="K699" s="935"/>
      <c r="L699" s="935"/>
      <c r="M699" s="935"/>
      <c r="N699" s="935"/>
      <c r="O699" s="4"/>
    </row>
    <row r="700" spans="3:15">
      <c r="D700" s="82"/>
      <c r="E700" s="4"/>
      <c r="F700" s="4"/>
      <c r="G700" s="4"/>
      <c r="H700" s="935"/>
      <c r="I700" s="935"/>
      <c r="J700" s="936"/>
      <c r="K700" s="935"/>
      <c r="L700" s="935"/>
      <c r="M700" s="935"/>
      <c r="N700" s="935"/>
      <c r="O700" s="4"/>
    </row>
    <row r="701" spans="3:15">
      <c r="C701" s="489" t="s">
        <v>932</v>
      </c>
      <c r="D701" s="477"/>
      <c r="E701" s="477"/>
      <c r="F701" s="477"/>
      <c r="G701" s="936"/>
      <c r="H701" s="936"/>
      <c r="I701" s="479"/>
      <c r="J701" s="479"/>
      <c r="K701" s="479"/>
      <c r="L701" s="479"/>
      <c r="M701" s="479"/>
      <c r="N701" s="479"/>
      <c r="O701" s="4"/>
    </row>
    <row r="702" spans="3:15">
      <c r="C702" s="478" t="s">
        <v>477</v>
      </c>
      <c r="D702" s="477"/>
      <c r="E702" s="477"/>
      <c r="F702" s="477"/>
      <c r="G702" s="936"/>
      <c r="H702" s="936"/>
      <c r="I702" s="479"/>
      <c r="J702" s="479"/>
      <c r="K702" s="479"/>
      <c r="L702" s="479"/>
      <c r="M702" s="479"/>
      <c r="N702" s="479"/>
      <c r="O702" s="4"/>
    </row>
    <row r="703" spans="3:15">
      <c r="C703" s="478" t="s">
        <v>290</v>
      </c>
      <c r="D703" s="477"/>
      <c r="E703" s="477"/>
      <c r="F703" s="477"/>
      <c r="G703" s="936"/>
      <c r="H703" s="936"/>
      <c r="I703" s="479"/>
      <c r="J703" s="479"/>
      <c r="K703" s="479"/>
      <c r="L703" s="479"/>
      <c r="M703" s="479"/>
      <c r="N703" s="479"/>
      <c r="O703" s="4"/>
    </row>
    <row r="704" spans="3:15">
      <c r="C704" s="478"/>
      <c r="D704" s="477"/>
      <c r="E704" s="477"/>
      <c r="F704" s="477"/>
      <c r="G704" s="936"/>
      <c r="H704" s="936"/>
      <c r="I704" s="479"/>
      <c r="J704" s="479"/>
      <c r="K704" s="479"/>
      <c r="L704" s="479"/>
      <c r="M704" s="479"/>
      <c r="N704" s="479"/>
      <c r="O704" s="4"/>
    </row>
    <row r="705" spans="1:16">
      <c r="C705" s="1273" t="s">
        <v>461</v>
      </c>
      <c r="D705" s="1273"/>
      <c r="E705" s="1273"/>
      <c r="F705" s="1273"/>
      <c r="G705" s="1273"/>
      <c r="H705" s="1273"/>
      <c r="I705" s="1273"/>
      <c r="J705" s="1273"/>
      <c r="K705" s="1273"/>
      <c r="L705" s="1273"/>
      <c r="M705" s="1273"/>
      <c r="N705" s="1273"/>
      <c r="O705" s="1273"/>
    </row>
    <row r="706" spans="1:16">
      <c r="C706" s="1273"/>
      <c r="D706" s="1273"/>
      <c r="E706" s="1273"/>
      <c r="F706" s="1273"/>
      <c r="G706" s="1273"/>
      <c r="H706" s="1273"/>
      <c r="I706" s="1273"/>
      <c r="J706" s="1273"/>
      <c r="K706" s="1273"/>
      <c r="L706" s="1273"/>
      <c r="M706" s="1273"/>
      <c r="N706" s="1273"/>
      <c r="O706" s="1273"/>
    </row>
    <row r="707" spans="1:16" ht="20.25">
      <c r="A707" s="419" t="s">
        <v>928</v>
      </c>
      <c r="B707" s="4"/>
      <c r="C707" s="4"/>
      <c r="D707" s="82"/>
      <c r="E707" s="4"/>
      <c r="F707" s="84"/>
      <c r="G707" s="4"/>
      <c r="H707" s="935"/>
      <c r="K707" s="11"/>
      <c r="L707" s="11"/>
      <c r="M707" s="11"/>
      <c r="N707" s="11" t="str">
        <f>"Page "&amp;P707&amp;" of "</f>
        <v xml:space="preserve">Page 9 of </v>
      </c>
      <c r="O707" s="420">
        <f>COUNT(P$6:P$59527)</f>
        <v>9</v>
      </c>
      <c r="P707" s="4">
        <v>9</v>
      </c>
    </row>
    <row r="708" spans="1:16">
      <c r="B708" s="4"/>
      <c r="C708" s="4"/>
      <c r="D708" s="82"/>
      <c r="E708" s="4"/>
      <c r="F708" s="4"/>
      <c r="G708" s="4"/>
      <c r="H708" s="935"/>
      <c r="I708" s="4"/>
      <c r="J708" s="4"/>
      <c r="K708" s="4"/>
      <c r="L708" s="4"/>
      <c r="M708" s="4"/>
      <c r="N708" s="4"/>
      <c r="O708" s="4"/>
    </row>
    <row r="709" spans="1:16" ht="18">
      <c r="B709" s="421" t="s">
        <v>175</v>
      </c>
      <c r="C709" s="480" t="s">
        <v>291</v>
      </c>
      <c r="D709" s="82"/>
      <c r="E709" s="4"/>
      <c r="F709" s="4"/>
      <c r="G709" s="4"/>
      <c r="H709" s="935"/>
      <c r="I709" s="935"/>
      <c r="J709" s="936"/>
      <c r="K709" s="935"/>
      <c r="L709" s="935"/>
      <c r="M709" s="935"/>
      <c r="N709" s="935"/>
      <c r="O709" s="4"/>
    </row>
    <row r="710" spans="1:16" ht="18.75">
      <c r="B710" s="421"/>
      <c r="C710" s="13"/>
      <c r="D710" s="82"/>
      <c r="E710" s="4"/>
      <c r="F710" s="4"/>
      <c r="G710" s="4"/>
      <c r="H710" s="935"/>
      <c r="I710" s="935"/>
      <c r="J710" s="936"/>
      <c r="K710" s="935"/>
      <c r="L710" s="935"/>
      <c r="M710" s="935"/>
      <c r="N710" s="935"/>
      <c r="O710" s="4"/>
    </row>
    <row r="711" spans="1:16" ht="18.75">
      <c r="B711" s="421"/>
      <c r="C711" s="13" t="s">
        <v>292</v>
      </c>
      <c r="D711" s="82"/>
      <c r="E711" s="4"/>
      <c r="F711" s="4"/>
      <c r="G711" s="4"/>
      <c r="H711" s="935"/>
      <c r="I711" s="935"/>
      <c r="J711" s="936"/>
      <c r="K711" s="935"/>
      <c r="L711" s="935"/>
      <c r="M711" s="935"/>
      <c r="N711" s="935"/>
      <c r="O711" s="4"/>
    </row>
    <row r="712" spans="1:16" ht="15.75" thickBot="1">
      <c r="C712" s="254"/>
      <c r="D712" s="82"/>
      <c r="E712" s="4"/>
      <c r="F712" s="4"/>
      <c r="G712" s="4"/>
      <c r="H712" s="935"/>
      <c r="I712" s="935"/>
      <c r="J712" s="936"/>
      <c r="K712" s="935"/>
      <c r="L712" s="935"/>
      <c r="M712" s="935"/>
      <c r="N712" s="935"/>
      <c r="O712" s="4"/>
    </row>
    <row r="713" spans="1:16" ht="15.75">
      <c r="C713" s="422" t="s">
        <v>293</v>
      </c>
      <c r="D713" s="82"/>
      <c r="E713" s="4"/>
      <c r="F713" s="4"/>
      <c r="G713" s="937"/>
      <c r="H713" s="4" t="s">
        <v>272</v>
      </c>
      <c r="I713" s="4"/>
      <c r="J713" s="4"/>
      <c r="K713" s="481" t="s">
        <v>297</v>
      </c>
      <c r="L713" s="482"/>
      <c r="M713" s="483"/>
      <c r="N713" s="938">
        <f>VLOOKUP(I719,C726:O785,5)</f>
        <v>80874.06544112417</v>
      </c>
      <c r="O713" s="4"/>
    </row>
    <row r="714" spans="1:16" ht="15.75">
      <c r="C714" s="422"/>
      <c r="D714" s="82"/>
      <c r="E714" s="4"/>
      <c r="F714" s="4"/>
      <c r="G714" s="4"/>
      <c r="H714" s="939"/>
      <c r="I714" s="939"/>
      <c r="J714" s="940"/>
      <c r="K714" s="486" t="s">
        <v>298</v>
      </c>
      <c r="L714" s="941"/>
      <c r="M714" s="4"/>
      <c r="N714" s="942">
        <f>VLOOKUP(I719,C726:O785,6)</f>
        <v>80874.06544112417</v>
      </c>
      <c r="O714" s="4"/>
    </row>
    <row r="715" spans="1:16" ht="13.5" thickBot="1">
      <c r="C715" s="487" t="s">
        <v>294</v>
      </c>
      <c r="D715" s="1274" t="s">
        <v>939</v>
      </c>
      <c r="E715" s="1275"/>
      <c r="F715" s="1275"/>
      <c r="G715" s="1275"/>
      <c r="H715" s="1275"/>
      <c r="I715" s="1275"/>
      <c r="J715" s="936"/>
      <c r="K715" s="943" t="s">
        <v>451</v>
      </c>
      <c r="L715" s="944"/>
      <c r="M715" s="944"/>
      <c r="N715" s="945">
        <f>+N714-N713</f>
        <v>0</v>
      </c>
      <c r="O715" s="4"/>
    </row>
    <row r="716" spans="1:16">
      <c r="C716" s="489"/>
      <c r="D716" s="1275"/>
      <c r="E716" s="1275"/>
      <c r="F716" s="1275"/>
      <c r="G716" s="1275"/>
      <c r="H716" s="1275"/>
      <c r="I716" s="1275"/>
      <c r="J716" s="936"/>
      <c r="K716" s="935"/>
      <c r="L716" s="935"/>
      <c r="M716" s="935"/>
      <c r="N716" s="935"/>
      <c r="O716" s="4"/>
    </row>
    <row r="717" spans="1:16" ht="13.5" thickBot="1">
      <c r="C717" s="489"/>
      <c r="D717" s="4"/>
      <c r="E717" s="490"/>
      <c r="F717" s="490"/>
      <c r="G717" s="490"/>
      <c r="H717" s="490"/>
      <c r="I717" s="490"/>
      <c r="J717" s="490"/>
      <c r="K717" s="490"/>
      <c r="L717" s="490"/>
      <c r="M717" s="490"/>
      <c r="N717" s="490"/>
      <c r="O717" s="4"/>
    </row>
    <row r="718" spans="1:16" ht="13.5" thickBot="1">
      <c r="C718" s="491" t="s">
        <v>295</v>
      </c>
      <c r="D718" s="492"/>
      <c r="E718" s="492"/>
      <c r="F718" s="492"/>
      <c r="G718" s="492"/>
      <c r="H718" s="492"/>
      <c r="I718" s="493"/>
      <c r="K718" s="4"/>
      <c r="L718" s="4"/>
      <c r="M718" s="4"/>
      <c r="N718" s="4"/>
      <c r="O718" s="4"/>
    </row>
    <row r="719" spans="1:16" ht="15">
      <c r="C719" s="494" t="s">
        <v>273</v>
      </c>
      <c r="D719" s="946">
        <v>614742</v>
      </c>
      <c r="E719" s="4" t="s">
        <v>274</v>
      </c>
      <c r="G719" s="82"/>
      <c r="H719" s="82"/>
      <c r="I719" s="495">
        <v>2018</v>
      </c>
      <c r="J719" s="138"/>
      <c r="K719" s="1272" t="s">
        <v>460</v>
      </c>
      <c r="L719" s="1272"/>
      <c r="M719" s="1272"/>
      <c r="N719" s="1272"/>
      <c r="O719" s="1272"/>
    </row>
    <row r="720" spans="1:16">
      <c r="C720" s="494" t="s">
        <v>276</v>
      </c>
      <c r="D720" s="647">
        <v>2016</v>
      </c>
      <c r="E720" s="494" t="s">
        <v>277</v>
      </c>
      <c r="F720" s="82"/>
      <c r="H720"/>
      <c r="I720" s="650">
        <f>IF(G713="",0,$F$15)</f>
        <v>0</v>
      </c>
      <c r="J720" s="496"/>
      <c r="K720" s="936" t="s">
        <v>460</v>
      </c>
    </row>
    <row r="721" spans="1:15">
      <c r="C721" s="494" t="s">
        <v>278</v>
      </c>
      <c r="D721" s="946">
        <v>6</v>
      </c>
      <c r="E721" s="494" t="s">
        <v>279</v>
      </c>
      <c r="F721" s="82"/>
      <c r="H721"/>
      <c r="I721" s="497">
        <f>$G$70</f>
        <v>0.11108872081308177</v>
      </c>
      <c r="J721" s="84"/>
      <c r="K721" t="str">
        <f>"          INPUT PROJECTED ARR (WITH &amp; WITHOUT INCENTIVES) FROM EACH PRIOR YEAR"</f>
        <v xml:space="preserve">          INPUT PROJECTED ARR (WITH &amp; WITHOUT INCENTIVES) FROM EACH PRIOR YEAR</v>
      </c>
    </row>
    <row r="722" spans="1:15">
      <c r="C722" s="494" t="s">
        <v>280</v>
      </c>
      <c r="D722" s="498">
        <f>G$79</f>
        <v>38</v>
      </c>
      <c r="E722" s="494" t="s">
        <v>281</v>
      </c>
      <c r="F722" s="82"/>
      <c r="H722"/>
      <c r="I722" s="497">
        <f>IF(G713="",I721,$G$67)</f>
        <v>0.11108872081308177</v>
      </c>
      <c r="J722" s="84"/>
      <c r="K722" t="s">
        <v>358</v>
      </c>
    </row>
    <row r="723" spans="1:15" ht="13.5" thickBot="1">
      <c r="C723" s="494" t="s">
        <v>282</v>
      </c>
      <c r="D723" s="649" t="s">
        <v>930</v>
      </c>
      <c r="E723" s="499" t="s">
        <v>283</v>
      </c>
      <c r="F723" s="500"/>
      <c r="G723" s="501"/>
      <c r="H723" s="501"/>
      <c r="I723" s="945">
        <f>IF(D719=0,0,D719/D722)</f>
        <v>16177.421052631578</v>
      </c>
      <c r="J723" s="936"/>
      <c r="K723" s="936" t="s">
        <v>364</v>
      </c>
      <c r="L723" s="936"/>
      <c r="M723" s="936"/>
      <c r="N723" s="936"/>
      <c r="O723" s="4"/>
    </row>
    <row r="724" spans="1:15" ht="51">
      <c r="A724" s="12"/>
      <c r="B724" s="12"/>
      <c r="C724" s="502" t="s">
        <v>273</v>
      </c>
      <c r="D724" s="947" t="s">
        <v>284</v>
      </c>
      <c r="E724" s="948" t="s">
        <v>285</v>
      </c>
      <c r="F724" s="947" t="s">
        <v>286</v>
      </c>
      <c r="G724" s="948" t="s">
        <v>357</v>
      </c>
      <c r="H724" s="949" t="s">
        <v>357</v>
      </c>
      <c r="I724" s="502" t="s">
        <v>296</v>
      </c>
      <c r="J724" s="506"/>
      <c r="K724" s="948" t="s">
        <v>366</v>
      </c>
      <c r="L724" s="950"/>
      <c r="M724" s="948" t="s">
        <v>366</v>
      </c>
      <c r="N724" s="950"/>
      <c r="O724" s="950"/>
    </row>
    <row r="725" spans="1:15" ht="13.5" thickBot="1">
      <c r="C725" s="507" t="s">
        <v>178</v>
      </c>
      <c r="D725" s="508" t="s">
        <v>179</v>
      </c>
      <c r="E725" s="507" t="s">
        <v>38</v>
      </c>
      <c r="F725" s="508" t="s">
        <v>179</v>
      </c>
      <c r="G725" s="951" t="s">
        <v>299</v>
      </c>
      <c r="H725" s="952" t="s">
        <v>301</v>
      </c>
      <c r="I725" s="507" t="s">
        <v>390</v>
      </c>
      <c r="J725" s="511"/>
      <c r="K725" s="951" t="s">
        <v>288</v>
      </c>
      <c r="L725" s="953"/>
      <c r="M725" s="951" t="s">
        <v>301</v>
      </c>
      <c r="N725" s="953"/>
      <c r="O725" s="953"/>
    </row>
    <row r="726" spans="1:15">
      <c r="C726" s="512">
        <f>IF(D720= "","-",D720)</f>
        <v>2016</v>
      </c>
      <c r="D726" s="477">
        <f>+D719</f>
        <v>614742</v>
      </c>
      <c r="E726" s="954">
        <f>+I723/12*(12-D721)</f>
        <v>8088.7105263157882</v>
      </c>
      <c r="F726" s="477">
        <f t="shared" ref="F726:F785" si="42">+D726-E726</f>
        <v>606653.28947368416</v>
      </c>
      <c r="G726" s="955">
        <f>+$I$721*((D726+F726)/2)+E726</f>
        <v>75930.330683693421</v>
      </c>
      <c r="H726" s="956">
        <f>+$I$722*((D726+F726)/2)+E726</f>
        <v>75930.330683693421</v>
      </c>
      <c r="I726" s="516">
        <f>+H726-G726</f>
        <v>0</v>
      </c>
      <c r="J726" s="516"/>
      <c r="K726" s="652">
        <v>149902</v>
      </c>
      <c r="L726" s="518"/>
      <c r="M726" s="652">
        <v>149902</v>
      </c>
      <c r="N726" s="518"/>
      <c r="O726" s="518"/>
    </row>
    <row r="727" spans="1:15">
      <c r="C727" s="512">
        <f>IF(D720="","-",+C726+1)</f>
        <v>2017</v>
      </c>
      <c r="D727" s="477">
        <f t="shared" ref="D727:D785" si="43">F726</f>
        <v>606653.28947368416</v>
      </c>
      <c r="E727" s="519">
        <f>IF(D727&gt;$I$723,$I$723,D727)</f>
        <v>16177.421052631578</v>
      </c>
      <c r="F727" s="477">
        <f t="shared" si="42"/>
        <v>590475.86842105258</v>
      </c>
      <c r="G727" s="954">
        <f t="shared" ref="G727:G785" si="44">+$I$721*((D727+F727)/2)+E727</f>
        <v>82671.19445191561</v>
      </c>
      <c r="H727" s="957">
        <f t="shared" ref="H727:H785" si="45">+$I$722*((D727+F727)/2)+E727</f>
        <v>82671.19445191561</v>
      </c>
      <c r="I727" s="516">
        <f t="shared" ref="I727:I785" si="46">+H727-G727</f>
        <v>0</v>
      </c>
      <c r="J727" s="516"/>
      <c r="K727" s="652">
        <v>92121</v>
      </c>
      <c r="L727" s="522"/>
      <c r="M727" s="652">
        <v>92121</v>
      </c>
      <c r="N727" s="522"/>
      <c r="O727" s="522"/>
    </row>
    <row r="728" spans="1:15">
      <c r="C728" s="959">
        <f>IF(D720="","-",+C727+1)</f>
        <v>2018</v>
      </c>
      <c r="D728" s="960">
        <f t="shared" si="43"/>
        <v>590475.86842105258</v>
      </c>
      <c r="E728" s="961">
        <f t="shared" ref="E728:E785" si="47">IF(D728&gt;$I$723,$I$723,D728)</f>
        <v>16177.421052631578</v>
      </c>
      <c r="F728" s="960">
        <f t="shared" si="42"/>
        <v>574298.44736842101</v>
      </c>
      <c r="G728" s="962">
        <f t="shared" si="44"/>
        <v>80874.06544112417</v>
      </c>
      <c r="H728" s="963">
        <f t="shared" si="45"/>
        <v>80874.06544112417</v>
      </c>
      <c r="I728" s="964">
        <f t="shared" si="46"/>
        <v>0</v>
      </c>
      <c r="J728" s="516"/>
      <c r="K728" s="652"/>
      <c r="L728" s="522"/>
      <c r="M728" s="652"/>
      <c r="N728" s="522"/>
      <c r="O728" s="522"/>
    </row>
    <row r="729" spans="1:15">
      <c r="C729" s="512">
        <f>IF(D720="","-",+C728+1)</f>
        <v>2019</v>
      </c>
      <c r="D729" s="477">
        <f t="shared" si="43"/>
        <v>574298.44736842101</v>
      </c>
      <c r="E729" s="519">
        <f t="shared" si="47"/>
        <v>16177.421052631578</v>
      </c>
      <c r="F729" s="477">
        <f t="shared" si="42"/>
        <v>558121.02631578944</v>
      </c>
      <c r="G729" s="954">
        <f t="shared" si="44"/>
        <v>79076.936430332702</v>
      </c>
      <c r="H729" s="957">
        <f t="shared" si="45"/>
        <v>79076.936430332702</v>
      </c>
      <c r="I729" s="516">
        <f t="shared" si="46"/>
        <v>0</v>
      </c>
      <c r="J729" s="516"/>
      <c r="K729" s="652"/>
      <c r="L729" s="522"/>
      <c r="M729" s="652"/>
      <c r="N729" s="522"/>
      <c r="O729" s="522"/>
    </row>
    <row r="730" spans="1:15">
      <c r="C730" s="512">
        <f>IF(D720="","-",+C729+1)</f>
        <v>2020</v>
      </c>
      <c r="D730" s="477">
        <f t="shared" si="43"/>
        <v>558121.02631578944</v>
      </c>
      <c r="E730" s="519">
        <f t="shared" si="47"/>
        <v>16177.421052631578</v>
      </c>
      <c r="F730" s="477">
        <f t="shared" si="42"/>
        <v>541943.60526315786</v>
      </c>
      <c r="G730" s="954">
        <f t="shared" si="44"/>
        <v>77279.807419541248</v>
      </c>
      <c r="H730" s="957">
        <f t="shared" si="45"/>
        <v>77279.807419541248</v>
      </c>
      <c r="I730" s="516">
        <f t="shared" si="46"/>
        <v>0</v>
      </c>
      <c r="J730" s="516"/>
      <c r="K730" s="652"/>
      <c r="L730" s="522"/>
      <c r="M730" s="652"/>
      <c r="N730" s="522"/>
      <c r="O730" s="522"/>
    </row>
    <row r="731" spans="1:15">
      <c r="C731" s="512">
        <f>IF(D720="","-",+C730+1)</f>
        <v>2021</v>
      </c>
      <c r="D731" s="477">
        <f t="shared" si="43"/>
        <v>541943.60526315786</v>
      </c>
      <c r="E731" s="519">
        <f t="shared" si="47"/>
        <v>16177.421052631578</v>
      </c>
      <c r="F731" s="477">
        <f t="shared" si="42"/>
        <v>525766.18421052629</v>
      </c>
      <c r="G731" s="954">
        <f t="shared" si="44"/>
        <v>75482.67840874978</v>
      </c>
      <c r="H731" s="957">
        <f t="shared" si="45"/>
        <v>75482.67840874978</v>
      </c>
      <c r="I731" s="516">
        <f t="shared" si="46"/>
        <v>0</v>
      </c>
      <c r="J731" s="516"/>
      <c r="K731" s="652"/>
      <c r="L731" s="522"/>
      <c r="M731" s="652"/>
      <c r="N731" s="522"/>
      <c r="O731" s="522"/>
    </row>
    <row r="732" spans="1:15">
      <c r="C732" s="512">
        <f>IF(D720="","-",+C731+1)</f>
        <v>2022</v>
      </c>
      <c r="D732" s="477">
        <f t="shared" si="43"/>
        <v>525766.18421052629</v>
      </c>
      <c r="E732" s="519">
        <f t="shared" si="47"/>
        <v>16177.421052631578</v>
      </c>
      <c r="F732" s="477">
        <f t="shared" si="42"/>
        <v>509588.76315789472</v>
      </c>
      <c r="G732" s="954">
        <f t="shared" si="44"/>
        <v>73685.549397958326</v>
      </c>
      <c r="H732" s="957">
        <f t="shared" si="45"/>
        <v>73685.549397958326</v>
      </c>
      <c r="I732" s="516">
        <f t="shared" si="46"/>
        <v>0</v>
      </c>
      <c r="J732" s="516"/>
      <c r="K732" s="652"/>
      <c r="L732" s="522"/>
      <c r="M732" s="652"/>
      <c r="N732" s="522"/>
      <c r="O732" s="522"/>
    </row>
    <row r="733" spans="1:15">
      <c r="C733" s="512">
        <f>IF(D720="","-",+C732+1)</f>
        <v>2023</v>
      </c>
      <c r="D733" s="477">
        <f t="shared" si="43"/>
        <v>509588.76315789472</v>
      </c>
      <c r="E733" s="519">
        <f t="shared" si="47"/>
        <v>16177.421052631578</v>
      </c>
      <c r="F733" s="477">
        <f t="shared" si="42"/>
        <v>493411.34210526315</v>
      </c>
      <c r="G733" s="954">
        <f t="shared" si="44"/>
        <v>71888.420387166858</v>
      </c>
      <c r="H733" s="957">
        <f t="shared" si="45"/>
        <v>71888.420387166858</v>
      </c>
      <c r="I733" s="516">
        <f t="shared" si="46"/>
        <v>0</v>
      </c>
      <c r="J733" s="516"/>
      <c r="K733" s="652"/>
      <c r="L733" s="522"/>
      <c r="M733" s="652"/>
      <c r="N733" s="522"/>
      <c r="O733" s="522"/>
    </row>
    <row r="734" spans="1:15">
      <c r="C734" s="512">
        <f>IF(D720="","-",+C733+1)</f>
        <v>2024</v>
      </c>
      <c r="D734" s="477">
        <f t="shared" si="43"/>
        <v>493411.34210526315</v>
      </c>
      <c r="E734" s="519">
        <f t="shared" si="47"/>
        <v>16177.421052631578</v>
      </c>
      <c r="F734" s="477">
        <f t="shared" si="42"/>
        <v>477233.92105263157</v>
      </c>
      <c r="G734" s="954">
        <f t="shared" si="44"/>
        <v>70091.291376375404</v>
      </c>
      <c r="H734" s="957">
        <f t="shared" si="45"/>
        <v>70091.291376375404</v>
      </c>
      <c r="I734" s="516">
        <f t="shared" si="46"/>
        <v>0</v>
      </c>
      <c r="J734" s="516"/>
      <c r="K734" s="652"/>
      <c r="L734" s="522"/>
      <c r="M734" s="652"/>
      <c r="N734" s="522"/>
      <c r="O734" s="522"/>
    </row>
    <row r="735" spans="1:15">
      <c r="C735" s="512">
        <f>IF(D720="","-",+C734+1)</f>
        <v>2025</v>
      </c>
      <c r="D735" s="477">
        <f t="shared" si="43"/>
        <v>477233.92105263157</v>
      </c>
      <c r="E735" s="519">
        <f t="shared" si="47"/>
        <v>16177.421052631578</v>
      </c>
      <c r="F735" s="477">
        <f t="shared" si="42"/>
        <v>461056.5</v>
      </c>
      <c r="G735" s="954">
        <f t="shared" si="44"/>
        <v>68294.162365583936</v>
      </c>
      <c r="H735" s="957">
        <f t="shared" si="45"/>
        <v>68294.162365583936</v>
      </c>
      <c r="I735" s="516">
        <f t="shared" si="46"/>
        <v>0</v>
      </c>
      <c r="J735" s="516"/>
      <c r="K735" s="652"/>
      <c r="L735" s="522"/>
      <c r="M735" s="652"/>
      <c r="N735" s="522"/>
      <c r="O735" s="522"/>
    </row>
    <row r="736" spans="1:15">
      <c r="C736" s="512">
        <f>IF(D720="","-",+C735+1)</f>
        <v>2026</v>
      </c>
      <c r="D736" s="477">
        <f t="shared" si="43"/>
        <v>461056.5</v>
      </c>
      <c r="E736" s="519">
        <f t="shared" si="47"/>
        <v>16177.421052631578</v>
      </c>
      <c r="F736" s="477">
        <f t="shared" si="42"/>
        <v>444879.07894736843</v>
      </c>
      <c r="G736" s="954">
        <f t="shared" si="44"/>
        <v>66497.033354792482</v>
      </c>
      <c r="H736" s="957">
        <f t="shared" si="45"/>
        <v>66497.033354792482</v>
      </c>
      <c r="I736" s="516">
        <f t="shared" si="46"/>
        <v>0</v>
      </c>
      <c r="J736" s="516"/>
      <c r="K736" s="652"/>
      <c r="L736" s="522"/>
      <c r="M736" s="652"/>
      <c r="N736" s="522"/>
      <c r="O736" s="522"/>
    </row>
    <row r="737" spans="3:15">
      <c r="C737" s="512">
        <f>IF(D720="","-",+C736+1)</f>
        <v>2027</v>
      </c>
      <c r="D737" s="477">
        <f t="shared" si="43"/>
        <v>444879.07894736843</v>
      </c>
      <c r="E737" s="519">
        <f t="shared" si="47"/>
        <v>16177.421052631578</v>
      </c>
      <c r="F737" s="477">
        <f t="shared" si="42"/>
        <v>428701.65789473685</v>
      </c>
      <c r="G737" s="954">
        <f t="shared" si="44"/>
        <v>64699.904344001028</v>
      </c>
      <c r="H737" s="957">
        <f t="shared" si="45"/>
        <v>64699.904344001028</v>
      </c>
      <c r="I737" s="516">
        <f t="shared" si="46"/>
        <v>0</v>
      </c>
      <c r="J737" s="516"/>
      <c r="K737" s="652"/>
      <c r="L737" s="522"/>
      <c r="M737" s="652"/>
      <c r="N737" s="522"/>
      <c r="O737" s="522"/>
    </row>
    <row r="738" spans="3:15">
      <c r="C738" s="512">
        <f>IF(D720="","-",+C737+1)</f>
        <v>2028</v>
      </c>
      <c r="D738" s="477">
        <f t="shared" si="43"/>
        <v>428701.65789473685</v>
      </c>
      <c r="E738" s="519">
        <f t="shared" si="47"/>
        <v>16177.421052631578</v>
      </c>
      <c r="F738" s="477">
        <f t="shared" si="42"/>
        <v>412524.23684210528</v>
      </c>
      <c r="G738" s="954">
        <f t="shared" si="44"/>
        <v>62902.775333209567</v>
      </c>
      <c r="H738" s="957">
        <f t="shared" si="45"/>
        <v>62902.775333209567</v>
      </c>
      <c r="I738" s="516">
        <f t="shared" si="46"/>
        <v>0</v>
      </c>
      <c r="J738" s="516"/>
      <c r="K738" s="652"/>
      <c r="L738" s="522"/>
      <c r="M738" s="652"/>
      <c r="N738" s="522"/>
      <c r="O738" s="522"/>
    </row>
    <row r="739" spans="3:15">
      <c r="C739" s="512">
        <f>IF(D720="","-",+C738+1)</f>
        <v>2029</v>
      </c>
      <c r="D739" s="477">
        <f t="shared" si="43"/>
        <v>412524.23684210528</v>
      </c>
      <c r="E739" s="519">
        <f t="shared" si="47"/>
        <v>16177.421052631578</v>
      </c>
      <c r="F739" s="477">
        <f t="shared" si="42"/>
        <v>396346.81578947371</v>
      </c>
      <c r="G739" s="954">
        <f t="shared" si="44"/>
        <v>61105.646322418106</v>
      </c>
      <c r="H739" s="957">
        <f t="shared" si="45"/>
        <v>61105.646322418106</v>
      </c>
      <c r="I739" s="516">
        <f t="shared" si="46"/>
        <v>0</v>
      </c>
      <c r="J739" s="516"/>
      <c r="K739" s="652"/>
      <c r="L739" s="522"/>
      <c r="M739" s="652"/>
      <c r="N739" s="522"/>
      <c r="O739" s="522"/>
    </row>
    <row r="740" spans="3:15">
      <c r="C740" s="512">
        <f>IF(D720="","-",+C739+1)</f>
        <v>2030</v>
      </c>
      <c r="D740" s="477">
        <f t="shared" si="43"/>
        <v>396346.81578947371</v>
      </c>
      <c r="E740" s="519">
        <f t="shared" si="47"/>
        <v>16177.421052631578</v>
      </c>
      <c r="F740" s="477">
        <f t="shared" si="42"/>
        <v>380169.39473684214</v>
      </c>
      <c r="G740" s="954">
        <f t="shared" si="44"/>
        <v>59308.517311626645</v>
      </c>
      <c r="H740" s="957">
        <f t="shared" si="45"/>
        <v>59308.517311626645</v>
      </c>
      <c r="I740" s="516">
        <f t="shared" si="46"/>
        <v>0</v>
      </c>
      <c r="J740" s="516"/>
      <c r="K740" s="652"/>
      <c r="L740" s="522"/>
      <c r="M740" s="652"/>
      <c r="N740" s="522"/>
      <c r="O740" s="522"/>
    </row>
    <row r="741" spans="3:15">
      <c r="C741" s="512">
        <f>IF(D720="","-",+C740+1)</f>
        <v>2031</v>
      </c>
      <c r="D741" s="477">
        <f t="shared" si="43"/>
        <v>380169.39473684214</v>
      </c>
      <c r="E741" s="519">
        <f t="shared" si="47"/>
        <v>16177.421052631578</v>
      </c>
      <c r="F741" s="477">
        <f t="shared" si="42"/>
        <v>363991.97368421056</v>
      </c>
      <c r="G741" s="954">
        <f t="shared" si="44"/>
        <v>57511.388300835184</v>
      </c>
      <c r="H741" s="957">
        <f t="shared" si="45"/>
        <v>57511.388300835184</v>
      </c>
      <c r="I741" s="516">
        <f t="shared" si="46"/>
        <v>0</v>
      </c>
      <c r="J741" s="516"/>
      <c r="K741" s="652"/>
      <c r="L741" s="522"/>
      <c r="M741" s="652"/>
      <c r="N741" s="522"/>
      <c r="O741" s="522"/>
    </row>
    <row r="742" spans="3:15">
      <c r="C742" s="512">
        <f>IF(D720="","-",+C741+1)</f>
        <v>2032</v>
      </c>
      <c r="D742" s="477">
        <f t="shared" si="43"/>
        <v>363991.97368421056</v>
      </c>
      <c r="E742" s="519">
        <f t="shared" si="47"/>
        <v>16177.421052631578</v>
      </c>
      <c r="F742" s="477">
        <f t="shared" si="42"/>
        <v>347814.55263157899</v>
      </c>
      <c r="G742" s="954">
        <f t="shared" si="44"/>
        <v>55714.259290043723</v>
      </c>
      <c r="H742" s="957">
        <f t="shared" si="45"/>
        <v>55714.259290043723</v>
      </c>
      <c r="I742" s="516">
        <f t="shared" si="46"/>
        <v>0</v>
      </c>
      <c r="J742" s="516"/>
      <c r="K742" s="652"/>
      <c r="L742" s="522"/>
      <c r="M742" s="652"/>
      <c r="N742" s="522"/>
      <c r="O742" s="522"/>
    </row>
    <row r="743" spans="3:15">
      <c r="C743" s="512">
        <f>IF(D720="","-",+C742+1)</f>
        <v>2033</v>
      </c>
      <c r="D743" s="477">
        <f t="shared" si="43"/>
        <v>347814.55263157899</v>
      </c>
      <c r="E743" s="519">
        <f t="shared" si="47"/>
        <v>16177.421052631578</v>
      </c>
      <c r="F743" s="477">
        <f t="shared" si="42"/>
        <v>331637.13157894742</v>
      </c>
      <c r="G743" s="954">
        <f t="shared" si="44"/>
        <v>53917.130279252262</v>
      </c>
      <c r="H743" s="957">
        <f t="shared" si="45"/>
        <v>53917.130279252262</v>
      </c>
      <c r="I743" s="516">
        <f t="shared" si="46"/>
        <v>0</v>
      </c>
      <c r="J743" s="516"/>
      <c r="K743" s="652"/>
      <c r="L743" s="522"/>
      <c r="M743" s="652"/>
      <c r="N743" s="522"/>
      <c r="O743" s="522"/>
    </row>
    <row r="744" spans="3:15">
      <c r="C744" s="512">
        <f>IF(D720="","-",+C743+1)</f>
        <v>2034</v>
      </c>
      <c r="D744" s="477">
        <f t="shared" si="43"/>
        <v>331637.13157894742</v>
      </c>
      <c r="E744" s="519">
        <f t="shared" si="47"/>
        <v>16177.421052631578</v>
      </c>
      <c r="F744" s="477">
        <f t="shared" si="42"/>
        <v>315459.71052631584</v>
      </c>
      <c r="G744" s="954">
        <f t="shared" si="44"/>
        <v>52120.001268460801</v>
      </c>
      <c r="H744" s="957">
        <f t="shared" si="45"/>
        <v>52120.001268460801</v>
      </c>
      <c r="I744" s="516">
        <f t="shared" si="46"/>
        <v>0</v>
      </c>
      <c r="J744" s="516"/>
      <c r="K744" s="652"/>
      <c r="L744" s="522"/>
      <c r="M744" s="652"/>
      <c r="N744" s="522"/>
      <c r="O744" s="522"/>
    </row>
    <row r="745" spans="3:15">
      <c r="C745" s="512">
        <f>IF(D720="","-",+C744+1)</f>
        <v>2035</v>
      </c>
      <c r="D745" s="477">
        <f t="shared" si="43"/>
        <v>315459.71052631584</v>
      </c>
      <c r="E745" s="519">
        <f t="shared" si="47"/>
        <v>16177.421052631578</v>
      </c>
      <c r="F745" s="477">
        <f t="shared" si="42"/>
        <v>299282.28947368427</v>
      </c>
      <c r="G745" s="954">
        <f t="shared" si="44"/>
        <v>50322.87225766934</v>
      </c>
      <c r="H745" s="957">
        <f t="shared" si="45"/>
        <v>50322.87225766934</v>
      </c>
      <c r="I745" s="516">
        <f t="shared" si="46"/>
        <v>0</v>
      </c>
      <c r="J745" s="516"/>
      <c r="K745" s="652"/>
      <c r="L745" s="522"/>
      <c r="M745" s="652"/>
      <c r="N745" s="522"/>
      <c r="O745" s="522"/>
    </row>
    <row r="746" spans="3:15">
      <c r="C746" s="512">
        <f>IF(D720="","-",+C745+1)</f>
        <v>2036</v>
      </c>
      <c r="D746" s="477">
        <f t="shared" si="43"/>
        <v>299282.28947368427</v>
      </c>
      <c r="E746" s="519">
        <f t="shared" si="47"/>
        <v>16177.421052631578</v>
      </c>
      <c r="F746" s="477">
        <f t="shared" si="42"/>
        <v>283104.8684210527</v>
      </c>
      <c r="G746" s="954">
        <f t="shared" si="44"/>
        <v>48525.743246877879</v>
      </c>
      <c r="H746" s="957">
        <f t="shared" si="45"/>
        <v>48525.743246877879</v>
      </c>
      <c r="I746" s="516">
        <f t="shared" si="46"/>
        <v>0</v>
      </c>
      <c r="J746" s="516"/>
      <c r="K746" s="652"/>
      <c r="L746" s="522"/>
      <c r="M746" s="652"/>
      <c r="N746" s="522"/>
      <c r="O746" s="522"/>
    </row>
    <row r="747" spans="3:15">
      <c r="C747" s="512">
        <f>IF(D720="","-",+C746+1)</f>
        <v>2037</v>
      </c>
      <c r="D747" s="477">
        <f t="shared" si="43"/>
        <v>283104.8684210527</v>
      </c>
      <c r="E747" s="519">
        <f t="shared" si="47"/>
        <v>16177.421052631578</v>
      </c>
      <c r="F747" s="477">
        <f t="shared" si="42"/>
        <v>266927.44736842113</v>
      </c>
      <c r="G747" s="954">
        <f t="shared" si="44"/>
        <v>46728.614236086418</v>
      </c>
      <c r="H747" s="957">
        <f t="shared" si="45"/>
        <v>46728.614236086418</v>
      </c>
      <c r="I747" s="516">
        <f t="shared" si="46"/>
        <v>0</v>
      </c>
      <c r="J747" s="516"/>
      <c r="K747" s="652"/>
      <c r="L747" s="522"/>
      <c r="M747" s="652"/>
      <c r="N747" s="522"/>
      <c r="O747" s="522"/>
    </row>
    <row r="748" spans="3:15">
      <c r="C748" s="512">
        <f>IF(D720="","-",+C747+1)</f>
        <v>2038</v>
      </c>
      <c r="D748" s="477">
        <f t="shared" si="43"/>
        <v>266927.44736842113</v>
      </c>
      <c r="E748" s="519">
        <f t="shared" si="47"/>
        <v>16177.421052631578</v>
      </c>
      <c r="F748" s="477">
        <f t="shared" si="42"/>
        <v>250750.02631578955</v>
      </c>
      <c r="G748" s="954">
        <f t="shared" si="44"/>
        <v>44931.485225294964</v>
      </c>
      <c r="H748" s="957">
        <f t="shared" si="45"/>
        <v>44931.485225294964</v>
      </c>
      <c r="I748" s="516">
        <f t="shared" si="46"/>
        <v>0</v>
      </c>
      <c r="J748" s="516"/>
      <c r="K748" s="652"/>
      <c r="L748" s="522"/>
      <c r="M748" s="652"/>
      <c r="N748" s="522"/>
      <c r="O748" s="522"/>
    </row>
    <row r="749" spans="3:15">
      <c r="C749" s="512">
        <f>IF(D720="","-",+C748+1)</f>
        <v>2039</v>
      </c>
      <c r="D749" s="477">
        <f t="shared" si="43"/>
        <v>250750.02631578955</v>
      </c>
      <c r="E749" s="519">
        <f t="shared" si="47"/>
        <v>16177.421052631578</v>
      </c>
      <c r="F749" s="477">
        <f t="shared" si="42"/>
        <v>234572.60526315798</v>
      </c>
      <c r="G749" s="954">
        <f t="shared" si="44"/>
        <v>43134.356214503503</v>
      </c>
      <c r="H749" s="957">
        <f t="shared" si="45"/>
        <v>43134.356214503503</v>
      </c>
      <c r="I749" s="516">
        <f t="shared" si="46"/>
        <v>0</v>
      </c>
      <c r="J749" s="516"/>
      <c r="K749" s="652"/>
      <c r="L749" s="522"/>
      <c r="M749" s="652"/>
      <c r="N749" s="522"/>
      <c r="O749" s="522"/>
    </row>
    <row r="750" spans="3:15">
      <c r="C750" s="512">
        <f>IF(D720="","-",+C749+1)</f>
        <v>2040</v>
      </c>
      <c r="D750" s="477">
        <f t="shared" si="43"/>
        <v>234572.60526315798</v>
      </c>
      <c r="E750" s="519">
        <f t="shared" si="47"/>
        <v>16177.421052631578</v>
      </c>
      <c r="F750" s="477">
        <f t="shared" si="42"/>
        <v>218395.18421052641</v>
      </c>
      <c r="G750" s="954">
        <f t="shared" si="44"/>
        <v>41337.227203712042</v>
      </c>
      <c r="H750" s="957">
        <f t="shared" si="45"/>
        <v>41337.227203712042</v>
      </c>
      <c r="I750" s="516">
        <f t="shared" si="46"/>
        <v>0</v>
      </c>
      <c r="J750" s="516"/>
      <c r="K750" s="652"/>
      <c r="L750" s="522"/>
      <c r="M750" s="652"/>
      <c r="N750" s="522"/>
      <c r="O750" s="522"/>
    </row>
    <row r="751" spans="3:15">
      <c r="C751" s="512">
        <f>IF(D720="","-",+C750+1)</f>
        <v>2041</v>
      </c>
      <c r="D751" s="477">
        <f t="shared" si="43"/>
        <v>218395.18421052641</v>
      </c>
      <c r="E751" s="519">
        <f t="shared" si="47"/>
        <v>16177.421052631578</v>
      </c>
      <c r="F751" s="477">
        <f t="shared" si="42"/>
        <v>202217.76315789483</v>
      </c>
      <c r="G751" s="954">
        <f t="shared" si="44"/>
        <v>39540.098192920581</v>
      </c>
      <c r="H751" s="957">
        <f t="shared" si="45"/>
        <v>39540.098192920581</v>
      </c>
      <c r="I751" s="516">
        <f t="shared" si="46"/>
        <v>0</v>
      </c>
      <c r="J751" s="516"/>
      <c r="K751" s="652"/>
      <c r="L751" s="522"/>
      <c r="M751" s="652"/>
      <c r="N751" s="522"/>
      <c r="O751" s="522"/>
    </row>
    <row r="752" spans="3:15">
      <c r="C752" s="512">
        <f>IF(D720="","-",+C751+1)</f>
        <v>2042</v>
      </c>
      <c r="D752" s="477">
        <f t="shared" si="43"/>
        <v>202217.76315789483</v>
      </c>
      <c r="E752" s="519">
        <f t="shared" si="47"/>
        <v>16177.421052631578</v>
      </c>
      <c r="F752" s="477">
        <f t="shared" si="42"/>
        <v>186040.34210526326</v>
      </c>
      <c r="G752" s="954">
        <f t="shared" si="44"/>
        <v>37742.96918212912</v>
      </c>
      <c r="H752" s="957">
        <f t="shared" si="45"/>
        <v>37742.96918212912</v>
      </c>
      <c r="I752" s="516">
        <f t="shared" si="46"/>
        <v>0</v>
      </c>
      <c r="J752" s="516"/>
      <c r="K752" s="652"/>
      <c r="L752" s="522"/>
      <c r="M752" s="652"/>
      <c r="N752" s="522"/>
      <c r="O752" s="522"/>
    </row>
    <row r="753" spans="3:15">
      <c r="C753" s="512">
        <f>IF(D720="","-",+C752+1)</f>
        <v>2043</v>
      </c>
      <c r="D753" s="477">
        <f t="shared" si="43"/>
        <v>186040.34210526326</v>
      </c>
      <c r="E753" s="519">
        <f t="shared" si="47"/>
        <v>16177.421052631578</v>
      </c>
      <c r="F753" s="477">
        <f t="shared" si="42"/>
        <v>169862.92105263169</v>
      </c>
      <c r="G753" s="954">
        <f t="shared" si="44"/>
        <v>35945.840171337659</v>
      </c>
      <c r="H753" s="957">
        <f t="shared" si="45"/>
        <v>35945.840171337659</v>
      </c>
      <c r="I753" s="516">
        <f t="shared" si="46"/>
        <v>0</v>
      </c>
      <c r="J753" s="516"/>
      <c r="K753" s="652"/>
      <c r="L753" s="522"/>
      <c r="M753" s="652"/>
      <c r="N753" s="522"/>
      <c r="O753" s="522"/>
    </row>
    <row r="754" spans="3:15">
      <c r="C754" s="512">
        <f>IF(D720="","-",+C753+1)</f>
        <v>2044</v>
      </c>
      <c r="D754" s="477">
        <f t="shared" si="43"/>
        <v>169862.92105263169</v>
      </c>
      <c r="E754" s="519">
        <f t="shared" si="47"/>
        <v>16177.421052631578</v>
      </c>
      <c r="F754" s="477">
        <f t="shared" si="42"/>
        <v>153685.50000000012</v>
      </c>
      <c r="G754" s="965">
        <f t="shared" si="44"/>
        <v>34148.711160546198</v>
      </c>
      <c r="H754" s="957">
        <f t="shared" si="45"/>
        <v>34148.711160546198</v>
      </c>
      <c r="I754" s="516">
        <f t="shared" si="46"/>
        <v>0</v>
      </c>
      <c r="J754" s="516"/>
      <c r="K754" s="652"/>
      <c r="L754" s="522"/>
      <c r="M754" s="652"/>
      <c r="N754" s="522"/>
      <c r="O754" s="522"/>
    </row>
    <row r="755" spans="3:15">
      <c r="C755" s="512">
        <f>IF(D720="","-",+C754+1)</f>
        <v>2045</v>
      </c>
      <c r="D755" s="477">
        <f t="shared" si="43"/>
        <v>153685.50000000012</v>
      </c>
      <c r="E755" s="519">
        <f t="shared" si="47"/>
        <v>16177.421052631578</v>
      </c>
      <c r="F755" s="477">
        <f t="shared" si="42"/>
        <v>137508.07894736854</v>
      </c>
      <c r="G755" s="954">
        <f t="shared" si="44"/>
        <v>32351.58214975474</v>
      </c>
      <c r="H755" s="957">
        <f t="shared" si="45"/>
        <v>32351.58214975474</v>
      </c>
      <c r="I755" s="516">
        <f t="shared" si="46"/>
        <v>0</v>
      </c>
      <c r="J755" s="516"/>
      <c r="K755" s="652"/>
      <c r="L755" s="522"/>
      <c r="M755" s="652"/>
      <c r="N755" s="522"/>
      <c r="O755" s="522"/>
    </row>
    <row r="756" spans="3:15">
      <c r="C756" s="512">
        <f>IF(D720="","-",+C755+1)</f>
        <v>2046</v>
      </c>
      <c r="D756" s="477">
        <f t="shared" si="43"/>
        <v>137508.07894736854</v>
      </c>
      <c r="E756" s="519">
        <f t="shared" si="47"/>
        <v>16177.421052631578</v>
      </c>
      <c r="F756" s="477">
        <f t="shared" si="42"/>
        <v>121330.65789473697</v>
      </c>
      <c r="G756" s="954">
        <f t="shared" si="44"/>
        <v>30554.453138963279</v>
      </c>
      <c r="H756" s="957">
        <f t="shared" si="45"/>
        <v>30554.453138963279</v>
      </c>
      <c r="I756" s="516">
        <f t="shared" si="46"/>
        <v>0</v>
      </c>
      <c r="J756" s="516"/>
      <c r="K756" s="652"/>
      <c r="L756" s="522"/>
      <c r="M756" s="652"/>
      <c r="N756" s="522"/>
      <c r="O756" s="522"/>
    </row>
    <row r="757" spans="3:15">
      <c r="C757" s="512">
        <f>IF(D720="","-",+C756+1)</f>
        <v>2047</v>
      </c>
      <c r="D757" s="477">
        <f t="shared" si="43"/>
        <v>121330.65789473697</v>
      </c>
      <c r="E757" s="519">
        <f t="shared" si="47"/>
        <v>16177.421052631578</v>
      </c>
      <c r="F757" s="477">
        <f t="shared" si="42"/>
        <v>105153.2368421054</v>
      </c>
      <c r="G757" s="954">
        <f t="shared" si="44"/>
        <v>28757.324128171818</v>
      </c>
      <c r="H757" s="957">
        <f t="shared" si="45"/>
        <v>28757.324128171818</v>
      </c>
      <c r="I757" s="516">
        <f t="shared" si="46"/>
        <v>0</v>
      </c>
      <c r="J757" s="516"/>
      <c r="K757" s="652"/>
      <c r="L757" s="522"/>
      <c r="M757" s="652"/>
      <c r="N757" s="522"/>
      <c r="O757" s="522"/>
    </row>
    <row r="758" spans="3:15">
      <c r="C758" s="512">
        <f>IF(D720="","-",+C757+1)</f>
        <v>2048</v>
      </c>
      <c r="D758" s="477">
        <f t="shared" si="43"/>
        <v>105153.2368421054</v>
      </c>
      <c r="E758" s="519">
        <f t="shared" si="47"/>
        <v>16177.421052631578</v>
      </c>
      <c r="F758" s="477">
        <f t="shared" si="42"/>
        <v>88975.815789473825</v>
      </c>
      <c r="G758" s="954">
        <f t="shared" si="44"/>
        <v>26960.195117380361</v>
      </c>
      <c r="H758" s="957">
        <f t="shared" si="45"/>
        <v>26960.195117380361</v>
      </c>
      <c r="I758" s="516">
        <f t="shared" si="46"/>
        <v>0</v>
      </c>
      <c r="J758" s="516"/>
      <c r="K758" s="652"/>
      <c r="L758" s="522"/>
      <c r="M758" s="652"/>
      <c r="N758" s="522"/>
      <c r="O758" s="522"/>
    </row>
    <row r="759" spans="3:15">
      <c r="C759" s="512">
        <f>IF(D720="","-",+C758+1)</f>
        <v>2049</v>
      </c>
      <c r="D759" s="477">
        <f t="shared" si="43"/>
        <v>88975.815789473825</v>
      </c>
      <c r="E759" s="519">
        <f t="shared" si="47"/>
        <v>16177.421052631578</v>
      </c>
      <c r="F759" s="477">
        <f t="shared" si="42"/>
        <v>72798.394736842252</v>
      </c>
      <c r="G759" s="954">
        <f t="shared" si="44"/>
        <v>25163.0661065889</v>
      </c>
      <c r="H759" s="957">
        <f t="shared" si="45"/>
        <v>25163.0661065889</v>
      </c>
      <c r="I759" s="516">
        <f t="shared" si="46"/>
        <v>0</v>
      </c>
      <c r="J759" s="516"/>
      <c r="K759" s="652"/>
      <c r="L759" s="522"/>
      <c r="M759" s="652"/>
      <c r="N759" s="522"/>
      <c r="O759" s="522"/>
    </row>
    <row r="760" spans="3:15">
      <c r="C760" s="512">
        <f>IF(D720="","-",+C759+1)</f>
        <v>2050</v>
      </c>
      <c r="D760" s="477">
        <f t="shared" si="43"/>
        <v>72798.394736842252</v>
      </c>
      <c r="E760" s="519">
        <f t="shared" si="47"/>
        <v>16177.421052631578</v>
      </c>
      <c r="F760" s="477">
        <f t="shared" si="42"/>
        <v>56620.973684210672</v>
      </c>
      <c r="G760" s="954">
        <f t="shared" si="44"/>
        <v>23365.937095797439</v>
      </c>
      <c r="H760" s="957">
        <f t="shared" si="45"/>
        <v>23365.937095797439</v>
      </c>
      <c r="I760" s="516">
        <f t="shared" si="46"/>
        <v>0</v>
      </c>
      <c r="J760" s="516"/>
      <c r="K760" s="652"/>
      <c r="L760" s="522"/>
      <c r="M760" s="652"/>
      <c r="N760" s="522"/>
      <c r="O760" s="522"/>
    </row>
    <row r="761" spans="3:15">
      <c r="C761" s="512">
        <f>IF(D720="","-",+C760+1)</f>
        <v>2051</v>
      </c>
      <c r="D761" s="477">
        <f t="shared" si="43"/>
        <v>56620.973684210672</v>
      </c>
      <c r="E761" s="519">
        <f t="shared" si="47"/>
        <v>16177.421052631578</v>
      </c>
      <c r="F761" s="477">
        <f t="shared" si="42"/>
        <v>40443.552631579092</v>
      </c>
      <c r="G761" s="954">
        <f t="shared" si="44"/>
        <v>21568.808085005978</v>
      </c>
      <c r="H761" s="957">
        <f t="shared" si="45"/>
        <v>21568.808085005978</v>
      </c>
      <c r="I761" s="516">
        <f t="shared" si="46"/>
        <v>0</v>
      </c>
      <c r="J761" s="516"/>
      <c r="K761" s="652"/>
      <c r="L761" s="522"/>
      <c r="M761" s="652"/>
      <c r="N761" s="522"/>
      <c r="O761" s="522"/>
    </row>
    <row r="762" spans="3:15">
      <c r="C762" s="512">
        <f>IF(D720="","-",+C761+1)</f>
        <v>2052</v>
      </c>
      <c r="D762" s="477">
        <f t="shared" si="43"/>
        <v>40443.552631579092</v>
      </c>
      <c r="E762" s="519">
        <f t="shared" si="47"/>
        <v>16177.421052631578</v>
      </c>
      <c r="F762" s="477">
        <f t="shared" si="42"/>
        <v>24266.131578947512</v>
      </c>
      <c r="G762" s="954">
        <f t="shared" si="44"/>
        <v>19771.679074214517</v>
      </c>
      <c r="H762" s="957">
        <f t="shared" si="45"/>
        <v>19771.679074214517</v>
      </c>
      <c r="I762" s="516">
        <f t="shared" si="46"/>
        <v>0</v>
      </c>
      <c r="J762" s="516"/>
      <c r="K762" s="652"/>
      <c r="L762" s="522"/>
      <c r="M762" s="652"/>
      <c r="N762" s="522"/>
      <c r="O762" s="522"/>
    </row>
    <row r="763" spans="3:15">
      <c r="C763" s="512">
        <f>IF(D720="","-",+C762+1)</f>
        <v>2053</v>
      </c>
      <c r="D763" s="477">
        <f t="shared" si="43"/>
        <v>24266.131578947512</v>
      </c>
      <c r="E763" s="519">
        <f t="shared" si="47"/>
        <v>16177.421052631578</v>
      </c>
      <c r="F763" s="477">
        <f t="shared" si="42"/>
        <v>8088.7105263159337</v>
      </c>
      <c r="G763" s="954">
        <f t="shared" si="44"/>
        <v>17974.550063423056</v>
      </c>
      <c r="H763" s="957">
        <f t="shared" si="45"/>
        <v>17974.550063423056</v>
      </c>
      <c r="I763" s="516">
        <f t="shared" si="46"/>
        <v>0</v>
      </c>
      <c r="J763" s="516"/>
      <c r="K763" s="652"/>
      <c r="L763" s="522"/>
      <c r="M763" s="652"/>
      <c r="N763" s="522"/>
      <c r="O763" s="522"/>
    </row>
    <row r="764" spans="3:15">
      <c r="C764" s="512">
        <f>IF(D720="","-",+C763+1)</f>
        <v>2054</v>
      </c>
      <c r="D764" s="477">
        <f t="shared" si="43"/>
        <v>8088.7105263159337</v>
      </c>
      <c r="E764" s="519">
        <f t="shared" si="47"/>
        <v>8088.7105263159337</v>
      </c>
      <c r="F764" s="477">
        <f t="shared" si="42"/>
        <v>0</v>
      </c>
      <c r="G764" s="954">
        <f t="shared" si="44"/>
        <v>8537.9927790138063</v>
      </c>
      <c r="H764" s="957">
        <f t="shared" si="45"/>
        <v>8537.9927790138063</v>
      </c>
      <c r="I764" s="516">
        <f t="shared" si="46"/>
        <v>0</v>
      </c>
      <c r="J764" s="516"/>
      <c r="K764" s="652"/>
      <c r="L764" s="522"/>
      <c r="M764" s="652"/>
      <c r="N764" s="522"/>
      <c r="O764" s="522"/>
    </row>
    <row r="765" spans="3:15">
      <c r="C765" s="512">
        <f>IF(D720="","-",+C764+1)</f>
        <v>2055</v>
      </c>
      <c r="D765" s="477">
        <f t="shared" si="43"/>
        <v>0</v>
      </c>
      <c r="E765" s="519">
        <f t="shared" si="47"/>
        <v>0</v>
      </c>
      <c r="F765" s="477">
        <f t="shared" si="42"/>
        <v>0</v>
      </c>
      <c r="G765" s="954">
        <f t="shared" si="44"/>
        <v>0</v>
      </c>
      <c r="H765" s="957">
        <f t="shared" si="45"/>
        <v>0</v>
      </c>
      <c r="I765" s="516">
        <f t="shared" si="46"/>
        <v>0</v>
      </c>
      <c r="J765" s="516"/>
      <c r="K765" s="652"/>
      <c r="L765" s="522"/>
      <c r="M765" s="652"/>
      <c r="N765" s="522"/>
      <c r="O765" s="522"/>
    </row>
    <row r="766" spans="3:15">
      <c r="C766" s="512">
        <f>IF(D720="","-",+C765+1)</f>
        <v>2056</v>
      </c>
      <c r="D766" s="477">
        <f t="shared" si="43"/>
        <v>0</v>
      </c>
      <c r="E766" s="519">
        <f t="shared" si="47"/>
        <v>0</v>
      </c>
      <c r="F766" s="477">
        <f t="shared" si="42"/>
        <v>0</v>
      </c>
      <c r="G766" s="954">
        <f t="shared" si="44"/>
        <v>0</v>
      </c>
      <c r="H766" s="957">
        <f t="shared" si="45"/>
        <v>0</v>
      </c>
      <c r="I766" s="516">
        <f t="shared" si="46"/>
        <v>0</v>
      </c>
      <c r="J766" s="516"/>
      <c r="K766" s="652"/>
      <c r="L766" s="522"/>
      <c r="M766" s="652"/>
      <c r="N766" s="522"/>
      <c r="O766" s="522"/>
    </row>
    <row r="767" spans="3:15">
      <c r="C767" s="512">
        <f>IF(D720="","-",+C766+1)</f>
        <v>2057</v>
      </c>
      <c r="D767" s="477">
        <f t="shared" si="43"/>
        <v>0</v>
      </c>
      <c r="E767" s="519">
        <f t="shared" si="47"/>
        <v>0</v>
      </c>
      <c r="F767" s="477">
        <f t="shared" si="42"/>
        <v>0</v>
      </c>
      <c r="G767" s="954">
        <f t="shared" si="44"/>
        <v>0</v>
      </c>
      <c r="H767" s="957">
        <f t="shared" si="45"/>
        <v>0</v>
      </c>
      <c r="I767" s="516">
        <f t="shared" si="46"/>
        <v>0</v>
      </c>
      <c r="J767" s="516"/>
      <c r="K767" s="652"/>
      <c r="L767" s="522"/>
      <c r="M767" s="652"/>
      <c r="N767" s="522"/>
      <c r="O767" s="522"/>
    </row>
    <row r="768" spans="3:15">
      <c r="C768" s="512">
        <f>IF(D720="","-",+C767+1)</f>
        <v>2058</v>
      </c>
      <c r="D768" s="477">
        <f t="shared" si="43"/>
        <v>0</v>
      </c>
      <c r="E768" s="519">
        <f t="shared" si="47"/>
        <v>0</v>
      </c>
      <c r="F768" s="477">
        <f t="shared" si="42"/>
        <v>0</v>
      </c>
      <c r="G768" s="954">
        <f t="shared" si="44"/>
        <v>0</v>
      </c>
      <c r="H768" s="957">
        <f t="shared" si="45"/>
        <v>0</v>
      </c>
      <c r="I768" s="516">
        <f t="shared" si="46"/>
        <v>0</v>
      </c>
      <c r="J768" s="516"/>
      <c r="K768" s="652"/>
      <c r="L768" s="522"/>
      <c r="M768" s="652"/>
      <c r="N768" s="522"/>
      <c r="O768" s="522"/>
    </row>
    <row r="769" spans="3:15">
      <c r="C769" s="512">
        <f>IF(D720="","-",+C768+1)</f>
        <v>2059</v>
      </c>
      <c r="D769" s="477">
        <f t="shared" si="43"/>
        <v>0</v>
      </c>
      <c r="E769" s="519">
        <f t="shared" si="47"/>
        <v>0</v>
      </c>
      <c r="F769" s="477">
        <f t="shared" si="42"/>
        <v>0</v>
      </c>
      <c r="G769" s="954">
        <f t="shared" si="44"/>
        <v>0</v>
      </c>
      <c r="H769" s="957">
        <f t="shared" si="45"/>
        <v>0</v>
      </c>
      <c r="I769" s="516">
        <f t="shared" si="46"/>
        <v>0</v>
      </c>
      <c r="J769" s="516"/>
      <c r="K769" s="652"/>
      <c r="L769" s="522"/>
      <c r="M769" s="652"/>
      <c r="N769" s="522"/>
      <c r="O769" s="522"/>
    </row>
    <row r="770" spans="3:15">
      <c r="C770" s="512">
        <f>IF(D720="","-",+C769+1)</f>
        <v>2060</v>
      </c>
      <c r="D770" s="477">
        <f t="shared" si="43"/>
        <v>0</v>
      </c>
      <c r="E770" s="519">
        <f t="shared" si="47"/>
        <v>0</v>
      </c>
      <c r="F770" s="477">
        <f t="shared" si="42"/>
        <v>0</v>
      </c>
      <c r="G770" s="954">
        <f t="shared" si="44"/>
        <v>0</v>
      </c>
      <c r="H770" s="957">
        <f t="shared" si="45"/>
        <v>0</v>
      </c>
      <c r="I770" s="516">
        <f t="shared" si="46"/>
        <v>0</v>
      </c>
      <c r="J770" s="516"/>
      <c r="K770" s="652"/>
      <c r="L770" s="522"/>
      <c r="M770" s="652"/>
      <c r="N770" s="522"/>
      <c r="O770" s="522"/>
    </row>
    <row r="771" spans="3:15">
      <c r="C771" s="512">
        <f>IF(D720="","-",+C770+1)</f>
        <v>2061</v>
      </c>
      <c r="D771" s="477">
        <f t="shared" si="43"/>
        <v>0</v>
      </c>
      <c r="E771" s="519">
        <f t="shared" si="47"/>
        <v>0</v>
      </c>
      <c r="F771" s="477">
        <f t="shared" si="42"/>
        <v>0</v>
      </c>
      <c r="G771" s="954">
        <f t="shared" si="44"/>
        <v>0</v>
      </c>
      <c r="H771" s="957">
        <f t="shared" si="45"/>
        <v>0</v>
      </c>
      <c r="I771" s="516">
        <f t="shared" si="46"/>
        <v>0</v>
      </c>
      <c r="J771" s="516"/>
      <c r="K771" s="652"/>
      <c r="L771" s="522"/>
      <c r="M771" s="652"/>
      <c r="N771" s="522"/>
      <c r="O771" s="522"/>
    </row>
    <row r="772" spans="3:15">
      <c r="C772" s="512">
        <f>IF(D720="","-",+C771+1)</f>
        <v>2062</v>
      </c>
      <c r="D772" s="477">
        <f t="shared" si="43"/>
        <v>0</v>
      </c>
      <c r="E772" s="519">
        <f t="shared" si="47"/>
        <v>0</v>
      </c>
      <c r="F772" s="477">
        <f t="shared" si="42"/>
        <v>0</v>
      </c>
      <c r="G772" s="954">
        <f t="shared" si="44"/>
        <v>0</v>
      </c>
      <c r="H772" s="957">
        <f t="shared" si="45"/>
        <v>0</v>
      </c>
      <c r="I772" s="516">
        <f t="shared" si="46"/>
        <v>0</v>
      </c>
      <c r="J772" s="516"/>
      <c r="K772" s="652"/>
      <c r="L772" s="522"/>
      <c r="M772" s="652"/>
      <c r="N772" s="522"/>
      <c r="O772" s="522"/>
    </row>
    <row r="773" spans="3:15">
      <c r="C773" s="512">
        <f>IF(D720="","-",+C772+1)</f>
        <v>2063</v>
      </c>
      <c r="D773" s="477">
        <f t="shared" si="43"/>
        <v>0</v>
      </c>
      <c r="E773" s="519">
        <f t="shared" si="47"/>
        <v>0</v>
      </c>
      <c r="F773" s="477">
        <f t="shared" si="42"/>
        <v>0</v>
      </c>
      <c r="G773" s="954">
        <f t="shared" si="44"/>
        <v>0</v>
      </c>
      <c r="H773" s="957">
        <f t="shared" si="45"/>
        <v>0</v>
      </c>
      <c r="I773" s="516">
        <f t="shared" si="46"/>
        <v>0</v>
      </c>
      <c r="J773" s="516"/>
      <c r="K773" s="652"/>
      <c r="L773" s="522"/>
      <c r="M773" s="652"/>
      <c r="N773" s="522"/>
      <c r="O773" s="522"/>
    </row>
    <row r="774" spans="3:15">
      <c r="C774" s="512">
        <f>IF(D720="","-",+C773+1)</f>
        <v>2064</v>
      </c>
      <c r="D774" s="477">
        <f t="shared" si="43"/>
        <v>0</v>
      </c>
      <c r="E774" s="519">
        <f t="shared" si="47"/>
        <v>0</v>
      </c>
      <c r="F774" s="477">
        <f t="shared" si="42"/>
        <v>0</v>
      </c>
      <c r="G774" s="954">
        <f t="shared" si="44"/>
        <v>0</v>
      </c>
      <c r="H774" s="957">
        <f t="shared" si="45"/>
        <v>0</v>
      </c>
      <c r="I774" s="516">
        <f t="shared" si="46"/>
        <v>0</v>
      </c>
      <c r="J774" s="516"/>
      <c r="K774" s="652"/>
      <c r="L774" s="522"/>
      <c r="M774" s="652"/>
      <c r="N774" s="522"/>
      <c r="O774" s="522"/>
    </row>
    <row r="775" spans="3:15">
      <c r="C775" s="512">
        <f>IF(D720="","-",+C774+1)</f>
        <v>2065</v>
      </c>
      <c r="D775" s="477">
        <f t="shared" si="43"/>
        <v>0</v>
      </c>
      <c r="E775" s="519">
        <f t="shared" si="47"/>
        <v>0</v>
      </c>
      <c r="F775" s="477">
        <f t="shared" si="42"/>
        <v>0</v>
      </c>
      <c r="G775" s="954">
        <f t="shared" si="44"/>
        <v>0</v>
      </c>
      <c r="H775" s="957">
        <f t="shared" si="45"/>
        <v>0</v>
      </c>
      <c r="I775" s="516">
        <f t="shared" si="46"/>
        <v>0</v>
      </c>
      <c r="J775" s="516"/>
      <c r="K775" s="652"/>
      <c r="L775" s="522"/>
      <c r="M775" s="652"/>
      <c r="N775" s="522"/>
      <c r="O775" s="522"/>
    </row>
    <row r="776" spans="3:15">
      <c r="C776" s="512">
        <f>IF(D720="","-",+C775+1)</f>
        <v>2066</v>
      </c>
      <c r="D776" s="477">
        <f t="shared" si="43"/>
        <v>0</v>
      </c>
      <c r="E776" s="519">
        <f t="shared" si="47"/>
        <v>0</v>
      </c>
      <c r="F776" s="477">
        <f t="shared" si="42"/>
        <v>0</v>
      </c>
      <c r="G776" s="954">
        <f t="shared" si="44"/>
        <v>0</v>
      </c>
      <c r="H776" s="957">
        <f t="shared" si="45"/>
        <v>0</v>
      </c>
      <c r="I776" s="516">
        <f t="shared" si="46"/>
        <v>0</v>
      </c>
      <c r="J776" s="516"/>
      <c r="K776" s="652"/>
      <c r="L776" s="522"/>
      <c r="M776" s="652"/>
      <c r="N776" s="522"/>
      <c r="O776" s="522"/>
    </row>
    <row r="777" spans="3:15">
      <c r="C777" s="512">
        <f>IF(D720="","-",+C776+1)</f>
        <v>2067</v>
      </c>
      <c r="D777" s="477">
        <f t="shared" si="43"/>
        <v>0</v>
      </c>
      <c r="E777" s="519">
        <f t="shared" si="47"/>
        <v>0</v>
      </c>
      <c r="F777" s="477">
        <f t="shared" si="42"/>
        <v>0</v>
      </c>
      <c r="G777" s="954">
        <f t="shared" si="44"/>
        <v>0</v>
      </c>
      <c r="H777" s="957">
        <f t="shared" si="45"/>
        <v>0</v>
      </c>
      <c r="I777" s="516">
        <f t="shared" si="46"/>
        <v>0</v>
      </c>
      <c r="J777" s="516"/>
      <c r="K777" s="652"/>
      <c r="L777" s="522"/>
      <c r="M777" s="652"/>
      <c r="N777" s="522"/>
      <c r="O777" s="522"/>
    </row>
    <row r="778" spans="3:15">
      <c r="C778" s="512">
        <f>IF(D720="","-",+C777+1)</f>
        <v>2068</v>
      </c>
      <c r="D778" s="477">
        <f t="shared" si="43"/>
        <v>0</v>
      </c>
      <c r="E778" s="519">
        <f t="shared" si="47"/>
        <v>0</v>
      </c>
      <c r="F778" s="477">
        <f t="shared" si="42"/>
        <v>0</v>
      </c>
      <c r="G778" s="954">
        <f t="shared" si="44"/>
        <v>0</v>
      </c>
      <c r="H778" s="957">
        <f t="shared" si="45"/>
        <v>0</v>
      </c>
      <c r="I778" s="516">
        <f t="shared" si="46"/>
        <v>0</v>
      </c>
      <c r="J778" s="516"/>
      <c r="K778" s="652"/>
      <c r="L778" s="522"/>
      <c r="M778" s="652"/>
      <c r="N778" s="522"/>
      <c r="O778" s="522"/>
    </row>
    <row r="779" spans="3:15">
      <c r="C779" s="512">
        <f>IF(D720="","-",+C778+1)</f>
        <v>2069</v>
      </c>
      <c r="D779" s="477">
        <f t="shared" si="43"/>
        <v>0</v>
      </c>
      <c r="E779" s="519">
        <f t="shared" si="47"/>
        <v>0</v>
      </c>
      <c r="F779" s="477">
        <f t="shared" si="42"/>
        <v>0</v>
      </c>
      <c r="G779" s="954">
        <f t="shared" si="44"/>
        <v>0</v>
      </c>
      <c r="H779" s="957">
        <f t="shared" si="45"/>
        <v>0</v>
      </c>
      <c r="I779" s="516">
        <f t="shared" si="46"/>
        <v>0</v>
      </c>
      <c r="J779" s="516"/>
      <c r="K779" s="652"/>
      <c r="L779" s="522"/>
      <c r="M779" s="652"/>
      <c r="N779" s="522"/>
      <c r="O779" s="522"/>
    </row>
    <row r="780" spans="3:15">
      <c r="C780" s="512">
        <f>IF(D720="","-",+C779+1)</f>
        <v>2070</v>
      </c>
      <c r="D780" s="477">
        <f t="shared" si="43"/>
        <v>0</v>
      </c>
      <c r="E780" s="519">
        <f t="shared" si="47"/>
        <v>0</v>
      </c>
      <c r="F780" s="477">
        <f t="shared" si="42"/>
        <v>0</v>
      </c>
      <c r="G780" s="954">
        <f t="shared" si="44"/>
        <v>0</v>
      </c>
      <c r="H780" s="957">
        <f t="shared" si="45"/>
        <v>0</v>
      </c>
      <c r="I780" s="516">
        <f t="shared" si="46"/>
        <v>0</v>
      </c>
      <c r="J780" s="516"/>
      <c r="K780" s="652"/>
      <c r="L780" s="522"/>
      <c r="M780" s="652"/>
      <c r="N780" s="522"/>
      <c r="O780" s="522"/>
    </row>
    <row r="781" spans="3:15">
      <c r="C781" s="512">
        <f>IF(D720="","-",+C780+1)</f>
        <v>2071</v>
      </c>
      <c r="D781" s="477">
        <f t="shared" si="43"/>
        <v>0</v>
      </c>
      <c r="E781" s="519">
        <f t="shared" si="47"/>
        <v>0</v>
      </c>
      <c r="F781" s="477">
        <f t="shared" si="42"/>
        <v>0</v>
      </c>
      <c r="G781" s="954">
        <f t="shared" si="44"/>
        <v>0</v>
      </c>
      <c r="H781" s="957">
        <f t="shared" si="45"/>
        <v>0</v>
      </c>
      <c r="I781" s="516">
        <f t="shared" si="46"/>
        <v>0</v>
      </c>
      <c r="J781" s="516"/>
      <c r="K781" s="652"/>
      <c r="L781" s="522"/>
      <c r="M781" s="652"/>
      <c r="N781" s="522"/>
      <c r="O781" s="522"/>
    </row>
    <row r="782" spans="3:15">
      <c r="C782" s="512">
        <f>IF(D720="","-",+C781+1)</f>
        <v>2072</v>
      </c>
      <c r="D782" s="477">
        <f t="shared" si="43"/>
        <v>0</v>
      </c>
      <c r="E782" s="519">
        <f t="shared" si="47"/>
        <v>0</v>
      </c>
      <c r="F782" s="477">
        <f t="shared" si="42"/>
        <v>0</v>
      </c>
      <c r="G782" s="954">
        <f t="shared" si="44"/>
        <v>0</v>
      </c>
      <c r="H782" s="957">
        <f t="shared" si="45"/>
        <v>0</v>
      </c>
      <c r="I782" s="516">
        <f t="shared" si="46"/>
        <v>0</v>
      </c>
      <c r="J782" s="516"/>
      <c r="K782" s="652"/>
      <c r="L782" s="522"/>
      <c r="M782" s="652"/>
      <c r="N782" s="522"/>
      <c r="O782" s="522"/>
    </row>
    <row r="783" spans="3:15">
      <c r="C783" s="512">
        <f>IF(D720="","-",+C782+1)</f>
        <v>2073</v>
      </c>
      <c r="D783" s="477">
        <f t="shared" si="43"/>
        <v>0</v>
      </c>
      <c r="E783" s="519">
        <f t="shared" si="47"/>
        <v>0</v>
      </c>
      <c r="F783" s="477">
        <f t="shared" si="42"/>
        <v>0</v>
      </c>
      <c r="G783" s="954">
        <f t="shared" si="44"/>
        <v>0</v>
      </c>
      <c r="H783" s="957">
        <f t="shared" si="45"/>
        <v>0</v>
      </c>
      <c r="I783" s="516">
        <f t="shared" si="46"/>
        <v>0</v>
      </c>
      <c r="J783" s="516"/>
      <c r="K783" s="652"/>
      <c r="L783" s="522"/>
      <c r="M783" s="652"/>
      <c r="N783" s="522"/>
      <c r="O783" s="522"/>
    </row>
    <row r="784" spans="3:15">
      <c r="C784" s="512">
        <f>IF(D720="","-",+C783+1)</f>
        <v>2074</v>
      </c>
      <c r="D784" s="477">
        <f t="shared" si="43"/>
        <v>0</v>
      </c>
      <c r="E784" s="519">
        <f t="shared" si="47"/>
        <v>0</v>
      </c>
      <c r="F784" s="477">
        <f t="shared" si="42"/>
        <v>0</v>
      </c>
      <c r="G784" s="954">
        <f t="shared" si="44"/>
        <v>0</v>
      </c>
      <c r="H784" s="957">
        <f t="shared" si="45"/>
        <v>0</v>
      </c>
      <c r="I784" s="516">
        <f t="shared" si="46"/>
        <v>0</v>
      </c>
      <c r="J784" s="516"/>
      <c r="K784" s="652"/>
      <c r="L784" s="522"/>
      <c r="M784" s="652"/>
      <c r="N784" s="522"/>
      <c r="O784" s="522"/>
    </row>
    <row r="785" spans="3:15" ht="13.5" thickBot="1">
      <c r="C785" s="523">
        <f>IF(D720="","-",+C784+1)</f>
        <v>2075</v>
      </c>
      <c r="D785" s="524">
        <f t="shared" si="43"/>
        <v>0</v>
      </c>
      <c r="E785" s="525">
        <f t="shared" si="47"/>
        <v>0</v>
      </c>
      <c r="F785" s="524">
        <f t="shared" si="42"/>
        <v>0</v>
      </c>
      <c r="G785" s="966">
        <f t="shared" si="44"/>
        <v>0</v>
      </c>
      <c r="H785" s="966">
        <f t="shared" si="45"/>
        <v>0</v>
      </c>
      <c r="I785" s="527">
        <f t="shared" si="46"/>
        <v>0</v>
      </c>
      <c r="J785" s="516"/>
      <c r="K785" s="653"/>
      <c r="L785" s="529"/>
      <c r="M785" s="653"/>
      <c r="N785" s="529"/>
      <c r="O785" s="529"/>
    </row>
    <row r="786" spans="3:15">
      <c r="C786" s="477" t="s">
        <v>289</v>
      </c>
      <c r="D786" s="936"/>
      <c r="E786" s="936">
        <f>SUM(E726:E785)</f>
        <v>614742</v>
      </c>
      <c r="F786" s="936"/>
      <c r="G786" s="936">
        <f>SUM(G726:G785)</f>
        <v>1946414.5969964729</v>
      </c>
      <c r="H786" s="936">
        <f>SUM(H726:H785)</f>
        <v>1946414.5969964729</v>
      </c>
      <c r="I786" s="936">
        <f>SUM(I726:I785)</f>
        <v>0</v>
      </c>
      <c r="J786" s="936"/>
      <c r="K786" s="936"/>
      <c r="L786" s="936"/>
      <c r="M786" s="936"/>
      <c r="N786" s="936"/>
      <c r="O786" s="4"/>
    </row>
    <row r="787" spans="3:15">
      <c r="D787" s="82"/>
      <c r="E787" s="4"/>
      <c r="F787" s="4"/>
      <c r="G787" s="4"/>
      <c r="H787" s="935"/>
      <c r="I787" s="935"/>
      <c r="J787" s="936"/>
      <c r="K787" s="935"/>
      <c r="L787" s="935"/>
      <c r="M787" s="935"/>
      <c r="N787" s="935"/>
      <c r="O787" s="4"/>
    </row>
    <row r="788" spans="3:15">
      <c r="C788" s="561" t="s">
        <v>931</v>
      </c>
      <c r="D788" s="82"/>
      <c r="E788" s="4"/>
      <c r="F788" s="4"/>
      <c r="G788" s="4"/>
      <c r="H788" s="935"/>
      <c r="I788" s="935"/>
      <c r="J788" s="936"/>
      <c r="K788" s="935"/>
      <c r="L788" s="935"/>
      <c r="M788" s="935"/>
      <c r="N788" s="935"/>
      <c r="O788" s="4"/>
    </row>
    <row r="789" spans="3:15">
      <c r="D789" s="82"/>
      <c r="E789" s="4"/>
      <c r="F789" s="4"/>
      <c r="G789" s="4"/>
      <c r="H789" s="935"/>
      <c r="I789" s="935"/>
      <c r="J789" s="936"/>
      <c r="K789" s="935"/>
      <c r="L789" s="935"/>
      <c r="M789" s="935"/>
      <c r="N789" s="935"/>
      <c r="O789" s="4"/>
    </row>
    <row r="790" spans="3:15">
      <c r="C790" s="489" t="s">
        <v>932</v>
      </c>
      <c r="D790" s="477"/>
      <c r="E790" s="477"/>
      <c r="F790" s="477"/>
      <c r="G790" s="936"/>
      <c r="H790" s="936"/>
      <c r="I790" s="479"/>
      <c r="J790" s="479"/>
      <c r="K790" s="479"/>
      <c r="L790" s="479"/>
      <c r="M790" s="479"/>
      <c r="N790" s="479"/>
      <c r="O790" s="4"/>
    </row>
    <row r="791" spans="3:15">
      <c r="C791" s="478" t="s">
        <v>477</v>
      </c>
      <c r="D791" s="477"/>
      <c r="E791" s="477"/>
      <c r="F791" s="477"/>
      <c r="G791" s="936"/>
      <c r="H791" s="936"/>
      <c r="I791" s="479"/>
      <c r="J791" s="479"/>
      <c r="K791" s="479"/>
      <c r="L791" s="479"/>
      <c r="M791" s="479"/>
      <c r="N791" s="479"/>
      <c r="O791" s="4"/>
    </row>
    <row r="792" spans="3:15">
      <c r="C792" s="478" t="s">
        <v>290</v>
      </c>
      <c r="D792" s="477"/>
      <c r="E792" s="477"/>
      <c r="F792" s="477"/>
      <c r="G792" s="936"/>
      <c r="H792" s="936"/>
      <c r="I792" s="479"/>
      <c r="J792" s="479"/>
      <c r="K792" s="479"/>
      <c r="L792" s="479"/>
      <c r="M792" s="479"/>
      <c r="N792" s="479"/>
      <c r="O792" s="4"/>
    </row>
    <row r="793" spans="3:15">
      <c r="C793" s="478"/>
      <c r="D793" s="477"/>
      <c r="E793" s="477"/>
      <c r="F793" s="477"/>
      <c r="G793" s="936"/>
      <c r="H793" s="936"/>
      <c r="I793" s="479"/>
      <c r="J793" s="479"/>
      <c r="K793" s="479"/>
      <c r="L793" s="479"/>
      <c r="M793" s="479"/>
      <c r="N793" s="479"/>
      <c r="O793" s="4"/>
    </row>
    <row r="794" spans="3:15">
      <c r="C794" s="1273" t="s">
        <v>461</v>
      </c>
      <c r="D794" s="1273"/>
      <c r="E794" s="1273"/>
      <c r="F794" s="1273"/>
      <c r="G794" s="1273"/>
      <c r="H794" s="1273"/>
      <c r="I794" s="1273"/>
      <c r="J794" s="1273"/>
      <c r="K794" s="1273"/>
      <c r="L794" s="1273"/>
      <c r="M794" s="1273"/>
      <c r="N794" s="1273"/>
      <c r="O794" s="1273"/>
    </row>
    <row r="795" spans="3:15">
      <c r="C795" s="1273"/>
      <c r="D795" s="1273"/>
      <c r="E795" s="1273"/>
      <c r="F795" s="1273"/>
      <c r="G795" s="1273"/>
      <c r="H795" s="1273"/>
      <c r="I795" s="1273"/>
      <c r="J795" s="1273"/>
      <c r="K795" s="1273"/>
      <c r="L795" s="1273"/>
      <c r="M795" s="1273"/>
      <c r="N795" s="1273"/>
      <c r="O795" s="1273"/>
    </row>
  </sheetData>
  <mergeCells count="30">
    <mergeCell ref="C260:O261"/>
    <mergeCell ref="C527:O528"/>
    <mergeCell ref="D537:I538"/>
    <mergeCell ref="K22:O23"/>
    <mergeCell ref="A3:O3"/>
    <mergeCell ref="C11:H12"/>
    <mergeCell ref="A4:O4"/>
    <mergeCell ref="A5:O5"/>
    <mergeCell ref="A6:O6"/>
    <mergeCell ref="C794:O795"/>
    <mergeCell ref="D92:I93"/>
    <mergeCell ref="K96:O96"/>
    <mergeCell ref="C171:O172"/>
    <mergeCell ref="D181:I182"/>
    <mergeCell ref="K185:O185"/>
    <mergeCell ref="K541:O541"/>
    <mergeCell ref="K363:O363"/>
    <mergeCell ref="C438:O439"/>
    <mergeCell ref="D448:I449"/>
    <mergeCell ref="K452:O452"/>
    <mergeCell ref="C616:O617"/>
    <mergeCell ref="D270:I271"/>
    <mergeCell ref="K274:O274"/>
    <mergeCell ref="C349:O350"/>
    <mergeCell ref="D359:I360"/>
    <mergeCell ref="D626:I627"/>
    <mergeCell ref="K630:O630"/>
    <mergeCell ref="C705:O706"/>
    <mergeCell ref="D715:I716"/>
    <mergeCell ref="K719:O719"/>
  </mergeCells>
  <phoneticPr fontId="0" type="noConversion"/>
  <conditionalFormatting sqref="C103:C162 C192:C251">
    <cfRule type="cellIs" dxfId="35" priority="7" stopIfTrue="1" operator="equal">
      <formula>$I$96</formula>
    </cfRule>
  </conditionalFormatting>
  <conditionalFormatting sqref="C281:C340">
    <cfRule type="cellIs" dxfId="34" priority="6" stopIfTrue="1" operator="equal">
      <formula>$I$96</formula>
    </cfRule>
  </conditionalFormatting>
  <conditionalFormatting sqref="C370:C429">
    <cfRule type="cellIs" dxfId="33" priority="5" stopIfTrue="1" operator="equal">
      <formula>$I$96</formula>
    </cfRule>
  </conditionalFormatting>
  <conditionalFormatting sqref="C459:C518">
    <cfRule type="cellIs" dxfId="32" priority="4" stopIfTrue="1" operator="equal">
      <formula>$I$96</formula>
    </cfRule>
  </conditionalFormatting>
  <conditionalFormatting sqref="C548:C607">
    <cfRule type="cellIs" dxfId="31" priority="3" stopIfTrue="1" operator="equal">
      <formula>$I$96</formula>
    </cfRule>
  </conditionalFormatting>
  <conditionalFormatting sqref="C637:C696">
    <cfRule type="cellIs" dxfId="30" priority="2" stopIfTrue="1" operator="equal">
      <formula>$I$96</formula>
    </cfRule>
  </conditionalFormatting>
  <conditionalFormatting sqref="C726:C785">
    <cfRule type="cellIs" dxfId="29" priority="1" stopIfTrue="1" operator="equal">
      <formula>$I$96</formula>
    </cfRule>
  </conditionalFormatting>
  <pageMargins left="0.26" right="1.28" top="1" bottom="0.5" header="0.75" footer="0.5"/>
  <pageSetup scale="41" fitToHeight="2" orientation="landscape" r:id="rId1"/>
  <headerFooter alignWithMargins="0">
    <oddHeader>&amp;R&amp;"Arial,Bold"Formula Rate 
&amp;A
Page &amp;P of &amp;N</oddHeader>
  </headerFooter>
  <rowBreaks count="7" manualBreakCount="7">
    <brk id="81" max="14" man="1"/>
    <brk id="261" max="16383" man="1"/>
    <brk id="350" max="16383" man="1"/>
    <brk id="439" max="16383" man="1"/>
    <brk id="528" max="16383" man="1"/>
    <brk id="617" max="16383" man="1"/>
    <brk id="70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Q1209"/>
  <sheetViews>
    <sheetView tabSelected="1" view="pageBreakPreview" topLeftCell="A1126" zoomScale="85" zoomScaleNormal="100" zoomScaleSheetLayoutView="85" workbookViewId="0">
      <selection activeCell="D9" sqref="D9"/>
    </sheetView>
  </sheetViews>
  <sheetFormatPr defaultColWidth="8.85546875" defaultRowHeight="12.75"/>
  <cols>
    <col min="1" max="1" width="4.5703125" customWidth="1"/>
    <col min="2" max="2" width="6.5703125" customWidth="1"/>
    <col min="3" max="3" width="32.42578125" customWidth="1"/>
    <col min="4" max="4" width="17.5703125" style="1" customWidth="1"/>
    <col min="5" max="8" width="17.5703125" customWidth="1"/>
    <col min="9" max="9" width="17.5703125" style="418" customWidth="1"/>
    <col min="10" max="10" width="17.5703125" bestFit="1" customWidth="1"/>
    <col min="11" max="11" width="2.140625" customWidth="1"/>
    <col min="12" max="12" width="17.5703125" style="4" customWidth="1"/>
    <col min="13" max="13" width="31.85546875" style="4" customWidth="1"/>
    <col min="14" max="15" width="17.5703125" style="4" customWidth="1"/>
    <col min="16" max="16" width="16.5703125" style="4" customWidth="1"/>
    <col min="17" max="17" width="2.140625" style="4" customWidth="1"/>
  </cols>
  <sheetData>
    <row r="1" spans="1:17" ht="15.75">
      <c r="A1" s="669" t="s">
        <v>115</v>
      </c>
    </row>
    <row r="2" spans="1:17" ht="15.75">
      <c r="A2" s="669" t="s">
        <v>115</v>
      </c>
    </row>
    <row r="3" spans="1:17" ht="15">
      <c r="A3" s="1230" t="s">
        <v>388</v>
      </c>
      <c r="B3" s="1230"/>
      <c r="C3" s="1230"/>
      <c r="D3" s="1230"/>
      <c r="E3" s="1230"/>
      <c r="F3" s="1230"/>
      <c r="G3" s="1230"/>
      <c r="H3" s="1230"/>
      <c r="I3" s="1230"/>
      <c r="J3" s="1230"/>
      <c r="K3" s="1230"/>
      <c r="L3" s="1230"/>
      <c r="M3" s="1230"/>
      <c r="N3" s="1230"/>
      <c r="O3" s="1230"/>
      <c r="P3" s="1230"/>
    </row>
    <row r="4" spans="1:17" ht="15">
      <c r="A4" s="1231" t="str">
        <f>"Cost of Service Formula Rate Using "&amp;TCOS!L4&amp;" FF1 Balances"</f>
        <v>Cost of Service Formula Rate Using 2025 FF1 Balances</v>
      </c>
      <c r="B4" s="1231"/>
      <c r="C4" s="1231"/>
      <c r="D4" s="1231"/>
      <c r="E4" s="1231"/>
      <c r="F4" s="1231"/>
      <c r="G4" s="1231"/>
      <c r="H4" s="1231"/>
      <c r="I4" s="1231"/>
      <c r="J4" s="1231"/>
      <c r="K4" s="1231"/>
      <c r="L4" s="1231"/>
      <c r="M4" s="1231"/>
      <c r="N4" s="1231"/>
      <c r="O4" s="1231"/>
      <c r="P4" s="1231"/>
    </row>
    <row r="5" spans="1:17" ht="15">
      <c r="A5" s="1231" t="s">
        <v>470</v>
      </c>
      <c r="B5" s="1231"/>
      <c r="C5" s="1231"/>
      <c r="D5" s="1231"/>
      <c r="E5" s="1231"/>
      <c r="F5" s="1231"/>
      <c r="G5" s="1231"/>
      <c r="H5" s="1231"/>
      <c r="I5" s="1231"/>
      <c r="J5" s="1231"/>
      <c r="K5" s="1231"/>
      <c r="L5" s="1231"/>
      <c r="M5" s="1231"/>
      <c r="N5" s="1231"/>
      <c r="O5" s="1231"/>
      <c r="P5" s="1231"/>
    </row>
    <row r="6" spans="1:17" ht="15">
      <c r="A6" s="1239" t="str">
        <f>TCOS!F9</f>
        <v xml:space="preserve">Indiana Michigan Power Company </v>
      </c>
      <c r="B6" s="1239"/>
      <c r="C6" s="1239"/>
      <c r="D6" s="1239"/>
      <c r="E6" s="1239"/>
      <c r="F6" s="1239"/>
      <c r="G6" s="1239"/>
      <c r="H6" s="1239"/>
      <c r="I6" s="1239"/>
      <c r="J6" s="1239"/>
      <c r="K6" s="1239"/>
      <c r="L6" s="1239"/>
      <c r="M6" s="1239"/>
      <c r="N6" s="1239"/>
      <c r="O6" s="1239"/>
      <c r="P6" s="1239"/>
    </row>
    <row r="8" spans="1:17" ht="20.25">
      <c r="A8" s="419"/>
      <c r="O8" s="11" t="str">
        <f>"Page "&amp;Q8&amp;" of "</f>
        <v xml:space="preserve">Page 1 of </v>
      </c>
      <c r="P8" s="420">
        <f>COUNT(Q$8:Q$58123)</f>
        <v>15</v>
      </c>
      <c r="Q8" s="11">
        <v>1</v>
      </c>
    </row>
    <row r="9" spans="1:17" ht="18">
      <c r="C9" s="13"/>
    </row>
    <row r="11" spans="1:17" ht="18">
      <c r="B11" s="421" t="s">
        <v>172</v>
      </c>
      <c r="C11" s="1282" t="str">
        <f>"Calculate Return and Income Taxes with "&amp;F17&amp;" basis point ROE increase for Projects Qualified for Regional Billing."</f>
        <v>Calculate Return and Income Taxes with 0 basis point ROE increase for Projects Qualified for Regional Billing.</v>
      </c>
      <c r="D11" s="1283"/>
      <c r="E11" s="1283"/>
      <c r="F11" s="1283"/>
      <c r="G11" s="1283"/>
      <c r="H11" s="1283"/>
      <c r="I11" s="1283"/>
    </row>
    <row r="12" spans="1:17" ht="18.75" customHeight="1">
      <c r="C12" s="1283"/>
      <c r="D12" s="1283"/>
      <c r="E12" s="1283"/>
      <c r="F12" s="1283"/>
      <c r="G12" s="1283"/>
      <c r="H12" s="1283"/>
      <c r="I12" s="1283"/>
    </row>
    <row r="13" spans="1:17" ht="15.75" customHeight="1">
      <c r="C13" s="12"/>
      <c r="D13" s="12"/>
      <c r="E13" s="12"/>
      <c r="F13" s="12"/>
      <c r="G13" s="12"/>
      <c r="H13" s="12"/>
      <c r="I13" s="12"/>
    </row>
    <row r="14" spans="1:17" ht="15.75">
      <c r="C14" s="422" t="str">
        <f>"A.   Determine 'R' with hypothetical "&amp;F17&amp;" basis point increase in ROE for Identified Projects"</f>
        <v>A.   Determine 'R' with hypothetical 0 basis point increase in ROE for Identified Projects</v>
      </c>
      <c r="D14" s="290"/>
    </row>
    <row r="15" spans="1:17">
      <c r="C15" s="72"/>
      <c r="D15" s="290"/>
    </row>
    <row r="16" spans="1:17">
      <c r="C16" s="423" t="str">
        <f>"   ROE w/o incentives  (TCOS, ln "&amp;TCOS!B273&amp;")"</f>
        <v xml:space="preserve">   ROE w/o incentives  (TCOS, ln 156)</v>
      </c>
      <c r="D16" s="290"/>
      <c r="E16" s="424"/>
      <c r="F16" s="530">
        <f>TCOS!J273</f>
        <v>0.10349999999999999</v>
      </c>
      <c r="G16" s="530"/>
      <c r="H16" s="424"/>
      <c r="I16" s="426"/>
      <c r="J16" s="426"/>
      <c r="K16" s="426"/>
      <c r="L16" s="426"/>
      <c r="M16" s="426"/>
      <c r="N16" s="426"/>
      <c r="O16" s="426"/>
      <c r="P16" s="426"/>
      <c r="Q16" s="426"/>
    </row>
    <row r="17" spans="3:17" ht="13.5" thickBot="1">
      <c r="C17" s="423" t="s">
        <v>253</v>
      </c>
      <c r="D17" s="290"/>
      <c r="E17" s="424"/>
      <c r="F17" s="643">
        <v>0</v>
      </c>
      <c r="G17" s="424"/>
      <c r="H17" s="424"/>
      <c r="I17" s="426"/>
      <c r="J17" s="426"/>
      <c r="K17" s="426"/>
      <c r="L17" s="426"/>
      <c r="M17" s="426"/>
      <c r="N17" s="426"/>
      <c r="O17" s="426"/>
      <c r="P17" s="426"/>
      <c r="Q17" s="426"/>
    </row>
    <row r="18" spans="3:17">
      <c r="C18" s="423" t="str">
        <f>"   ROE with additional "&amp;F17&amp;" basis point incentive"</f>
        <v xml:space="preserve">   ROE with additional 0 basis point incentive</v>
      </c>
      <c r="D18" s="424"/>
      <c r="E18" s="424"/>
      <c r="F18" s="427">
        <f>IF((F16+(F17/10000)&gt;0.125),"ERROR",F16+(F17/10000))</f>
        <v>0.10349999999999999</v>
      </c>
      <c r="G18" s="428"/>
      <c r="H18" s="424"/>
      <c r="I18" s="426"/>
      <c r="J18" s="426"/>
      <c r="K18" s="426"/>
      <c r="L18" s="531" t="s">
        <v>455</v>
      </c>
      <c r="M18" s="532"/>
      <c r="N18" s="532"/>
      <c r="O18" s="532"/>
      <c r="P18" s="533"/>
      <c r="Q18" s="426"/>
    </row>
    <row r="19" spans="3:17">
      <c r="C19" s="423" t="str">
        <f>"   Determine R  ( cost of long term debt, cost of preferred stock and equity percentage is from the TCOS, lns "&amp;TCOS!B271&amp;" through"&amp;TCOS!B273&amp;")"</f>
        <v xml:space="preserve">   Determine R  ( cost of long term debt, cost of preferred stock and equity percentage is from the TCOS, lns 154 through156)</v>
      </c>
      <c r="D19" s="290"/>
      <c r="E19" s="424"/>
      <c r="F19" s="429"/>
      <c r="G19" s="429"/>
      <c r="H19" s="424"/>
      <c r="I19" s="426"/>
      <c r="J19" s="426"/>
      <c r="K19" s="426"/>
      <c r="L19" s="534"/>
      <c r="M19" s="426"/>
      <c r="N19" s="426" t="s">
        <v>255</v>
      </c>
      <c r="O19" s="426" t="s">
        <v>256</v>
      </c>
      <c r="P19" s="535" t="s">
        <v>257</v>
      </c>
      <c r="Q19" s="426"/>
    </row>
    <row r="20" spans="3:17">
      <c r="C20" s="426"/>
      <c r="D20" s="430" t="s">
        <v>147</v>
      </c>
      <c r="E20" s="430" t="s">
        <v>146</v>
      </c>
      <c r="F20" s="431" t="s">
        <v>254</v>
      </c>
      <c r="G20" s="431"/>
      <c r="H20" s="424"/>
      <c r="I20" s="426"/>
      <c r="J20" s="426"/>
      <c r="K20" s="426"/>
      <c r="L20" s="534" t="s">
        <v>453</v>
      </c>
      <c r="M20" s="536">
        <f>+TCOS!L4</f>
        <v>2025</v>
      </c>
      <c r="P20" s="537"/>
      <c r="Q20" s="426"/>
    </row>
    <row r="21" spans="3:17">
      <c r="C21" s="432" t="s">
        <v>258</v>
      </c>
      <c r="D21" s="538">
        <f>TCOS!H271</f>
        <v>0.46062049491619406</v>
      </c>
      <c r="E21" s="433">
        <f>TCOS!J271</f>
        <v>4.5584821228362681E-2</v>
      </c>
      <c r="F21" s="434">
        <f>E21*D21</f>
        <v>2.0997302914874647E-2</v>
      </c>
      <c r="G21" s="434"/>
      <c r="H21" s="424"/>
      <c r="I21" s="426"/>
      <c r="J21" s="435"/>
      <c r="K21" s="435"/>
      <c r="L21" s="494"/>
      <c r="M21" s="539" t="s">
        <v>454</v>
      </c>
      <c r="N21" s="654">
        <f>M90+M177+M264+M351+M438+M525+M612+M699+M786+M873+M959+M1045+M1131</f>
        <v>7354071.1877318174</v>
      </c>
      <c r="O21" s="654">
        <f>N90+N177+N264+N351+N438+N525+N612+N699+N786+N873+N959+N1045+N1131</f>
        <v>7354071.1877318174</v>
      </c>
      <c r="P21" s="540">
        <f>+O21-N21</f>
        <v>0</v>
      </c>
      <c r="Q21" s="435"/>
    </row>
    <row r="22" spans="3:17" ht="13.5" thickBot="1">
      <c r="C22" s="432" t="s">
        <v>259</v>
      </c>
      <c r="D22" s="538">
        <f>TCOS!H272</f>
        <v>0</v>
      </c>
      <c r="E22" s="433">
        <f>TCOS!J272</f>
        <v>0</v>
      </c>
      <c r="F22" s="434">
        <f>E22*D22</f>
        <v>0</v>
      </c>
      <c r="G22" s="434"/>
      <c r="H22" s="436"/>
      <c r="I22" s="436"/>
      <c r="J22" s="437"/>
      <c r="K22" s="437"/>
      <c r="L22" s="494"/>
      <c r="M22" s="539" t="s">
        <v>260</v>
      </c>
      <c r="N22" s="655">
        <f>M91+M178+M265+M352+M439+M526+M613+M700+M787+M874+M960+M1046+M1132</f>
        <v>6991118.1370065175</v>
      </c>
      <c r="O22" s="655">
        <f>N91+N178+N265+N352+N439+N526+N613+N700+N787+N874+N960+N1046+N1132</f>
        <v>6991118.1370065175</v>
      </c>
      <c r="P22" s="541">
        <f>+O22-N22</f>
        <v>0</v>
      </c>
      <c r="Q22" s="437"/>
    </row>
    <row r="23" spans="3:17">
      <c r="C23" s="432" t="s">
        <v>245</v>
      </c>
      <c r="D23" s="538">
        <f>TCOS!H273</f>
        <v>0.53937950508380583</v>
      </c>
      <c r="E23" s="433">
        <f>+F18</f>
        <v>0.10349999999999999</v>
      </c>
      <c r="F23" s="438">
        <f>E23*D23</f>
        <v>5.5825778776173902E-2</v>
      </c>
      <c r="G23" s="438"/>
      <c r="H23" s="436"/>
      <c r="I23" s="436"/>
      <c r="J23" s="437"/>
      <c r="K23" s="437"/>
      <c r="L23" s="494"/>
      <c r="M23" s="539" t="str">
        <f>"True-up of ARR For "&amp;TCOS!L4&amp;""</f>
        <v>True-up of ARR For 2025</v>
      </c>
      <c r="N23" s="477">
        <f>+N22-N21</f>
        <v>-362953.05072529987</v>
      </c>
      <c r="O23" s="477">
        <f>+O22-O21</f>
        <v>-362953.05072529987</v>
      </c>
      <c r="P23" s="542">
        <f>+P22-P21</f>
        <v>0</v>
      </c>
      <c r="Q23" s="437"/>
    </row>
    <row r="24" spans="3:17">
      <c r="C24" s="423"/>
      <c r="D24"/>
      <c r="E24" s="439" t="s">
        <v>261</v>
      </c>
      <c r="F24" s="434">
        <f>SUM(F21:F23)</f>
        <v>7.6823081691048553E-2</v>
      </c>
      <c r="G24" s="434"/>
      <c r="H24" s="436"/>
      <c r="I24" s="436"/>
      <c r="J24" s="437"/>
      <c r="K24" s="437"/>
      <c r="L24" s="494"/>
      <c r="P24" s="537"/>
      <c r="Q24" s="437"/>
    </row>
    <row r="25" spans="3:17" ht="13.5" thickBot="1">
      <c r="C25" s="72"/>
      <c r="D25" s="444"/>
      <c r="E25" s="444"/>
      <c r="F25" s="436"/>
      <c r="G25" s="436"/>
      <c r="H25" s="436"/>
      <c r="I25" s="436"/>
      <c r="J25" s="436"/>
      <c r="K25" s="436"/>
      <c r="L25" s="543"/>
      <c r="M25" s="544"/>
      <c r="N25" s="545"/>
      <c r="O25" s="545"/>
      <c r="P25" s="541"/>
      <c r="Q25" s="436"/>
    </row>
    <row r="26" spans="3:17" ht="15.75">
      <c r="C26" s="422" t="str">
        <f>"B.   Determine Return using 'R' with hypothetical "&amp;F17&amp;" basis point ROE increase for Identified Projects."</f>
        <v>B.   Determine Return using 'R' with hypothetical 0 basis point ROE increase for Identified Projects.</v>
      </c>
      <c r="D26" s="444"/>
      <c r="E26" s="444"/>
      <c r="F26" s="436"/>
      <c r="G26" s="436"/>
      <c r="H26" s="436"/>
      <c r="I26" s="424"/>
      <c r="J26" s="436"/>
      <c r="K26" s="436"/>
      <c r="L26" s="436"/>
      <c r="M26" s="436"/>
      <c r="N26" s="436"/>
      <c r="O26" s="436"/>
      <c r="P26" s="436"/>
      <c r="Q26" s="436"/>
    </row>
    <row r="27" spans="3:17">
      <c r="C27" s="426"/>
      <c r="D27" s="444"/>
      <c r="E27" s="444"/>
      <c r="F27" s="436"/>
      <c r="G27" s="436"/>
      <c r="H27" s="436"/>
      <c r="I27" s="436"/>
      <c r="J27" s="436"/>
      <c r="K27" s="436"/>
      <c r="L27" s="436"/>
      <c r="M27" s="436"/>
      <c r="N27" s="436"/>
      <c r="O27" s="436"/>
      <c r="P27" s="436"/>
      <c r="Q27" s="436"/>
    </row>
    <row r="28" spans="3:17">
      <c r="C28" s="451" t="str">
        <f>"   Rate Base  (TCOS, ln "&amp;TCOS!B131&amp;")"</f>
        <v xml:space="preserve">   Rate Base  (TCOS, ln 68)</v>
      </c>
      <c r="D28" s="424"/>
      <c r="E28" s="452">
        <f>TCOS!L131</f>
        <v>1248841644.1602726</v>
      </c>
      <c r="F28" s="459"/>
      <c r="G28" s="459"/>
      <c r="H28" s="436"/>
      <c r="I28" s="436"/>
      <c r="J28" s="436"/>
      <c r="K28" s="436"/>
      <c r="L28" s="436"/>
      <c r="M28" s="436"/>
      <c r="N28" s="436"/>
      <c r="O28" s="436"/>
      <c r="P28" s="459"/>
      <c r="Q28" s="436"/>
    </row>
    <row r="29" spans="3:17">
      <c r="C29" s="426" t="s">
        <v>475</v>
      </c>
      <c r="D29" s="454"/>
      <c r="E29" s="434">
        <f>F24</f>
        <v>7.6823081691048553E-2</v>
      </c>
      <c r="F29" s="436"/>
      <c r="G29" s="436"/>
      <c r="H29" s="436"/>
      <c r="I29" s="436"/>
      <c r="J29" s="436"/>
      <c r="K29" s="436"/>
      <c r="L29" s="436"/>
      <c r="M29" s="436"/>
      <c r="N29" s="436"/>
      <c r="O29" s="436"/>
      <c r="P29" s="436"/>
      <c r="Q29" s="436"/>
    </row>
    <row r="30" spans="3:17">
      <c r="C30" s="455" t="s">
        <v>263</v>
      </c>
      <c r="D30" s="455"/>
      <c r="E30" s="437">
        <f>E28*E29</f>
        <v>95939863.648508012</v>
      </c>
      <c r="F30" s="436"/>
      <c r="G30" s="436"/>
      <c r="H30" s="436"/>
      <c r="I30" s="436"/>
      <c r="J30" s="437"/>
      <c r="K30" s="437"/>
      <c r="L30" s="437"/>
      <c r="M30" s="437"/>
      <c r="N30" s="437"/>
      <c r="O30" s="437"/>
      <c r="P30" s="436"/>
      <c r="Q30" s="437"/>
    </row>
    <row r="31" spans="3:17">
      <c r="C31" s="455"/>
      <c r="D31" s="426"/>
      <c r="E31" s="426"/>
      <c r="F31" s="436"/>
      <c r="G31" s="436"/>
      <c r="H31" s="436"/>
      <c r="I31" s="436"/>
      <c r="J31" s="437"/>
      <c r="K31" s="437"/>
      <c r="L31" s="437"/>
      <c r="M31" s="437"/>
      <c r="N31" s="437"/>
      <c r="O31" s="437"/>
      <c r="P31" s="436"/>
      <c r="Q31" s="437"/>
    </row>
    <row r="32" spans="3:17" ht="15.75">
      <c r="C32" s="422" t="str">
        <f>"C.   Determine Income Taxes using Return with hypothetical "&amp;F17&amp;" basis point ROE increase for Identified Projects."</f>
        <v>C.   Determine Income Taxes using Return with hypothetical 0 basis point ROE increase for Identified Projects.</v>
      </c>
      <c r="D32" s="456"/>
      <c r="E32" s="456"/>
      <c r="F32" s="457"/>
      <c r="G32" s="457"/>
      <c r="H32" s="457"/>
      <c r="I32" s="457"/>
      <c r="J32" s="458"/>
      <c r="K32" s="458"/>
      <c r="L32" s="458"/>
      <c r="M32" s="458"/>
      <c r="N32" s="458"/>
      <c r="O32" s="458"/>
      <c r="P32" s="457"/>
      <c r="Q32" s="458"/>
    </row>
    <row r="33" spans="2:17">
      <c r="C33" s="423"/>
      <c r="D33" s="426"/>
      <c r="E33" s="426"/>
      <c r="F33" s="436"/>
      <c r="G33" s="436"/>
      <c r="H33" s="436"/>
      <c r="I33" s="436"/>
      <c r="J33" s="437"/>
      <c r="K33" s="437"/>
      <c r="L33" s="437"/>
      <c r="M33" s="437"/>
      <c r="N33" s="437"/>
      <c r="O33" s="437"/>
      <c r="P33" s="436"/>
      <c r="Q33" s="437"/>
    </row>
    <row r="34" spans="2:17">
      <c r="C34" s="426" t="s">
        <v>264</v>
      </c>
      <c r="D34" s="439"/>
      <c r="E34" s="459">
        <f>E30</f>
        <v>95939863.648508012</v>
      </c>
      <c r="F34" s="436"/>
      <c r="G34" s="436"/>
      <c r="H34" s="436"/>
      <c r="I34" s="436"/>
      <c r="J34" s="436"/>
      <c r="K34" s="436"/>
      <c r="L34" s="436"/>
      <c r="M34" s="436"/>
      <c r="N34" s="436"/>
      <c r="O34" s="436"/>
      <c r="P34" s="436"/>
      <c r="Q34" s="436"/>
    </row>
    <row r="35" spans="2:17">
      <c r="C35" s="451" t="str">
        <f>"   Effective Tax Rate  (TCOS, ln "&amp;TCOS!B198&amp;")"</f>
        <v xml:space="preserve">   Effective Tax Rate  (TCOS, ln 114)</v>
      </c>
      <c r="D35" s="82"/>
      <c r="E35" s="84">
        <f>TCOS!G198</f>
        <v>0.23962406081794621</v>
      </c>
      <c r="F35" s="4"/>
      <c r="G35" s="4"/>
      <c r="H35" s="4"/>
      <c r="I35" s="460"/>
      <c r="J35" s="4"/>
      <c r="K35" s="4"/>
    </row>
    <row r="36" spans="2:17">
      <c r="C36" s="455" t="s">
        <v>265</v>
      </c>
      <c r="D36" s="82"/>
      <c r="E36" s="461">
        <f>E34*E35</f>
        <v>22989499.72177555</v>
      </c>
      <c r="F36" s="4"/>
      <c r="G36" s="4"/>
      <c r="H36" s="4"/>
      <c r="I36" s="460"/>
      <c r="J36" s="4"/>
      <c r="K36" s="4"/>
    </row>
    <row r="37" spans="2:17" ht="15">
      <c r="C37" s="423" t="s">
        <v>303</v>
      </c>
      <c r="D37" s="257"/>
      <c r="E37" s="436">
        <f>TCOS!L207</f>
        <v>-273948.7231835401</v>
      </c>
      <c r="F37" s="257"/>
      <c r="G37" s="257"/>
      <c r="H37" s="257"/>
      <c r="I37" s="257"/>
      <c r="J37" s="257"/>
      <c r="K37" s="257"/>
      <c r="L37" s="257"/>
      <c r="M37" s="257"/>
      <c r="N37" s="257"/>
      <c r="O37" s="257"/>
      <c r="P37" s="271"/>
      <c r="Q37" s="257"/>
    </row>
    <row r="38" spans="2:17" ht="15">
      <c r="C38" s="423" t="s">
        <v>534</v>
      </c>
      <c r="D38" s="257"/>
      <c r="E38" s="436">
        <f>TCOS!L208</f>
        <v>-4171902.6113050361</v>
      </c>
      <c r="F38" s="257"/>
      <c r="G38" s="257"/>
      <c r="H38" s="257"/>
      <c r="I38" s="257"/>
      <c r="J38" s="257"/>
      <c r="K38" s="257"/>
      <c r="L38" s="257"/>
      <c r="M38" s="257"/>
      <c r="N38" s="257"/>
      <c r="O38" s="257"/>
      <c r="P38" s="271"/>
      <c r="Q38" s="257"/>
    </row>
    <row r="39" spans="2:17" ht="15">
      <c r="C39" s="423" t="s">
        <v>535</v>
      </c>
      <c r="D39" s="257"/>
      <c r="E39" s="462">
        <f>TCOS!L209</f>
        <v>2679549.9724714765</v>
      </c>
      <c r="F39" s="257"/>
      <c r="G39" s="257"/>
      <c r="H39" s="257"/>
      <c r="I39" s="257"/>
      <c r="J39" s="257"/>
      <c r="K39" s="257"/>
      <c r="L39" s="257"/>
      <c r="M39" s="257"/>
      <c r="N39" s="257"/>
      <c r="O39" s="257"/>
      <c r="P39" s="271"/>
      <c r="Q39" s="257"/>
    </row>
    <row r="40" spans="2:17" ht="15">
      <c r="C40" s="455" t="s">
        <v>266</v>
      </c>
      <c r="D40" s="257"/>
      <c r="E40" s="436">
        <f>E36+E37+E38+E39</f>
        <v>21223198.359758452</v>
      </c>
      <c r="F40" s="257"/>
      <c r="G40" s="257"/>
      <c r="H40" s="257"/>
      <c r="I40" s="257"/>
      <c r="J40" s="257"/>
      <c r="K40" s="257"/>
      <c r="L40" s="257"/>
      <c r="M40" s="257"/>
      <c r="N40" s="257"/>
      <c r="O40" s="257"/>
      <c r="P40" s="270"/>
      <c r="Q40" s="257"/>
    </row>
    <row r="41" spans="2:17" ht="12.75" customHeight="1">
      <c r="C41" s="254"/>
      <c r="D41" s="257"/>
      <c r="E41" s="257"/>
      <c r="F41" s="257"/>
      <c r="G41" s="257"/>
      <c r="H41" s="257"/>
      <c r="I41" s="257"/>
      <c r="J41" s="257"/>
      <c r="K41" s="257"/>
      <c r="L41" s="257"/>
      <c r="M41" s="257"/>
      <c r="N41" s="257"/>
      <c r="O41" s="257"/>
      <c r="P41" s="270"/>
      <c r="Q41" s="257"/>
    </row>
    <row r="42" spans="2:17" ht="18.75">
      <c r="B42" s="421" t="s">
        <v>173</v>
      </c>
      <c r="C42" s="13" t="str">
        <f>"Calculate Net Plant Carrying Charge Rate (Fixed Charge Rate or FCR) with hypothetical "&amp;F17&amp;""</f>
        <v>Calculate Net Plant Carrying Charge Rate (Fixed Charge Rate or FCR) with hypothetical 0</v>
      </c>
      <c r="D42" s="257"/>
      <c r="E42" s="257"/>
      <c r="F42" s="257"/>
      <c r="G42" s="257"/>
      <c r="H42" s="257"/>
      <c r="I42" s="257"/>
      <c r="J42" s="257"/>
      <c r="K42" s="257"/>
      <c r="L42" s="257"/>
      <c r="M42" s="257"/>
      <c r="N42" s="257"/>
      <c r="O42" s="257"/>
      <c r="P42" s="270"/>
      <c r="Q42" s="257"/>
    </row>
    <row r="43" spans="2:17" ht="18.75" customHeight="1">
      <c r="C43" s="13" t="str">
        <f>"basis point ROE increase."</f>
        <v>basis point ROE increase.</v>
      </c>
      <c r="D43" s="257"/>
      <c r="E43" s="257"/>
      <c r="F43" s="257"/>
      <c r="G43" s="257"/>
      <c r="H43" s="257"/>
      <c r="I43" s="257"/>
      <c r="J43" s="257"/>
      <c r="K43" s="257"/>
      <c r="L43" s="257"/>
      <c r="M43" s="257"/>
      <c r="N43" s="257"/>
      <c r="O43" s="257"/>
      <c r="P43" s="270"/>
      <c r="Q43" s="257"/>
    </row>
    <row r="44" spans="2:17" ht="12.75" customHeight="1">
      <c r="C44" s="13"/>
      <c r="D44" s="257"/>
      <c r="E44" s="257"/>
      <c r="F44" s="257"/>
      <c r="G44" s="257"/>
      <c r="H44" s="257"/>
      <c r="I44" s="257"/>
      <c r="J44" s="257"/>
      <c r="K44" s="257"/>
      <c r="L44" s="257"/>
      <c r="M44" s="257"/>
      <c r="N44" s="257"/>
      <c r="O44" s="257"/>
      <c r="P44" s="270"/>
      <c r="Q44" s="257"/>
    </row>
    <row r="45" spans="2:17" ht="15.75">
      <c r="C45" s="422" t="s">
        <v>466</v>
      </c>
      <c r="D45" s="257"/>
      <c r="E45" s="257"/>
      <c r="F45" s="254"/>
      <c r="G45" s="254"/>
      <c r="H45" s="257"/>
      <c r="I45" s="257"/>
      <c r="J45" s="257"/>
      <c r="K45" s="257"/>
      <c r="L45" s="257"/>
      <c r="M45" s="257"/>
      <c r="N45" s="257"/>
      <c r="O45" s="257"/>
      <c r="P45" s="270"/>
      <c r="Q45" s="257"/>
    </row>
    <row r="46" spans="2:17">
      <c r="B46" s="4"/>
      <c r="C46" s="423"/>
      <c r="D46" s="424"/>
      <c r="E46" s="424"/>
      <c r="F46" s="424"/>
      <c r="G46" s="424"/>
      <c r="H46" s="424"/>
      <c r="I46" s="424"/>
      <c r="J46" s="424"/>
      <c r="K46" s="424"/>
      <c r="L46" s="424"/>
      <c r="M46" s="424"/>
      <c r="N46" s="424"/>
      <c r="O46" s="424"/>
      <c r="P46" s="436"/>
      <c r="Q46" s="424"/>
    </row>
    <row r="47" spans="2:17" ht="12.75" customHeight="1">
      <c r="B47" s="4"/>
      <c r="C47" s="451" t="str">
        <f>"   Annual Revenue Requirement  (TCOS, ln "&amp;TCOS!B13&amp;")"</f>
        <v xml:space="preserve">   Annual Revenue Requirement  (TCOS, ln 1)</v>
      </c>
      <c r="D47" s="424"/>
      <c r="E47" s="424"/>
      <c r="F47" s="436">
        <f>TCOS!L13</f>
        <v>212983503.33507404</v>
      </c>
      <c r="G47" s="436"/>
      <c r="H47" s="546" t="s">
        <v>115</v>
      </c>
      <c r="I47" s="424"/>
      <c r="J47" s="424"/>
      <c r="K47" s="424"/>
      <c r="L47" s="424"/>
      <c r="M47" s="424"/>
      <c r="N47" s="424"/>
      <c r="O47" s="424"/>
      <c r="P47" s="436"/>
      <c r="Q47" s="424"/>
    </row>
    <row r="48" spans="2:17" ht="12.75" customHeight="1">
      <c r="B48" s="4"/>
      <c r="C48" s="451" t="str">
        <f>"   Lease Payments (TCOS, Ln "&amp;TCOS!B175&amp;")"</f>
        <v xml:space="preserve">   Lease Payments (TCOS, Ln 95)</v>
      </c>
      <c r="D48" s="424"/>
      <c r="E48" s="424"/>
      <c r="F48" s="436">
        <f>TCOS!L175</f>
        <v>0</v>
      </c>
      <c r="G48" s="436"/>
      <c r="H48" s="546"/>
      <c r="I48" s="424"/>
      <c r="J48" s="424"/>
      <c r="K48" s="424"/>
      <c r="L48" s="424"/>
      <c r="M48" s="424"/>
      <c r="N48" s="424"/>
      <c r="O48" s="424"/>
      <c r="P48" s="436"/>
      <c r="Q48" s="424"/>
    </row>
    <row r="49" spans="2:17">
      <c r="B49" s="4"/>
      <c r="C49" s="451" t="str">
        <f>"   Return  (TCOS, ln "&amp;TCOS!B213&amp;")"</f>
        <v xml:space="preserve">   Return  (TCOS, ln 126)</v>
      </c>
      <c r="D49" s="424"/>
      <c r="E49" s="424"/>
      <c r="F49" s="437">
        <f>TCOS!L213</f>
        <v>95939863.648508012</v>
      </c>
      <c r="G49" s="437"/>
      <c r="H49" s="423"/>
      <c r="I49" s="423"/>
      <c r="J49" s="423"/>
      <c r="K49" s="423"/>
      <c r="L49" s="423"/>
      <c r="M49" s="423"/>
      <c r="N49" s="423"/>
      <c r="O49" s="423"/>
      <c r="P49" s="436"/>
      <c r="Q49" s="423"/>
    </row>
    <row r="50" spans="2:17">
      <c r="B50" s="4"/>
      <c r="C50" s="451" t="str">
        <f>"   Income Taxes  (TCOS, ln "&amp;TCOS!B211&amp;")"</f>
        <v xml:space="preserve">   Income Taxes  (TCOS, ln 125)</v>
      </c>
      <c r="D50" s="424"/>
      <c r="E50" s="424"/>
      <c r="F50" s="463">
        <f>TCOS!L211</f>
        <v>21223198.359758452</v>
      </c>
      <c r="G50" s="463"/>
      <c r="H50" s="424"/>
      <c r="I50" s="424"/>
      <c r="J50" s="464"/>
      <c r="K50" s="464"/>
      <c r="L50" s="464"/>
      <c r="M50" s="464"/>
      <c r="N50" s="464"/>
      <c r="O50" s="464"/>
      <c r="P50" s="424"/>
      <c r="Q50" s="464"/>
    </row>
    <row r="51" spans="2:17">
      <c r="B51" s="4"/>
      <c r="C51" s="1204" t="s">
        <v>591</v>
      </c>
      <c r="D51" s="1283"/>
      <c r="E51" s="424"/>
      <c r="F51" s="437">
        <f>F47-F49-F50-F48</f>
        <v>95820441.326807573</v>
      </c>
      <c r="G51" s="437"/>
      <c r="H51" s="465"/>
      <c r="I51" s="424"/>
      <c r="J51" s="465"/>
      <c r="K51" s="465"/>
      <c r="L51" s="465"/>
      <c r="M51" s="465"/>
      <c r="N51" s="465"/>
      <c r="O51" s="465"/>
      <c r="P51" s="465"/>
      <c r="Q51" s="465"/>
    </row>
    <row r="52" spans="2:17">
      <c r="B52" s="4"/>
      <c r="C52" s="1283"/>
      <c r="D52" s="1283"/>
      <c r="E52" s="424"/>
      <c r="F52" s="436"/>
      <c r="G52" s="436"/>
      <c r="H52" s="466"/>
      <c r="I52" s="467"/>
      <c r="J52" s="467"/>
      <c r="K52" s="467"/>
      <c r="L52" s="467"/>
      <c r="M52" s="467"/>
      <c r="N52" s="467"/>
      <c r="O52" s="467"/>
      <c r="P52" s="467"/>
      <c r="Q52" s="467"/>
    </row>
    <row r="53" spans="2:17" ht="15.75">
      <c r="B53" s="4"/>
      <c r="C53" s="422" t="str">
        <f>"B.   Determine Annual Revenue Requirement with hypothetical "&amp;F17&amp;" basis point increase in ROE."</f>
        <v>B.   Determine Annual Revenue Requirement with hypothetical 0 basis point increase in ROE.</v>
      </c>
      <c r="D53" s="426"/>
      <c r="E53" s="426"/>
      <c r="F53" s="436"/>
      <c r="G53" s="436"/>
      <c r="H53" s="466"/>
      <c r="I53" s="467"/>
      <c r="J53" s="467"/>
      <c r="K53" s="467"/>
      <c r="L53" s="467"/>
      <c r="M53" s="467"/>
      <c r="N53" s="467"/>
      <c r="O53" s="467"/>
      <c r="P53" s="467"/>
      <c r="Q53" s="467"/>
    </row>
    <row r="54" spans="2:17">
      <c r="B54" s="4"/>
      <c r="C54" s="423"/>
      <c r="D54" s="426"/>
      <c r="E54" s="426"/>
      <c r="F54" s="436"/>
      <c r="G54" s="436"/>
      <c r="H54" s="466"/>
      <c r="I54" s="467"/>
      <c r="J54" s="467"/>
      <c r="K54" s="467"/>
      <c r="L54" s="467"/>
      <c r="M54" s="467"/>
      <c r="N54" s="467"/>
      <c r="O54" s="467"/>
      <c r="P54" s="467"/>
      <c r="Q54" s="467"/>
    </row>
    <row r="55" spans="2:17">
      <c r="B55" s="4"/>
      <c r="C55" s="423" t="str">
        <f>C51</f>
        <v xml:space="preserve">   Annual Revenue Requirement, Less Lease Payments, Return and Taxes</v>
      </c>
      <c r="D55" s="426"/>
      <c r="E55" s="426"/>
      <c r="F55" s="436">
        <f>F51</f>
        <v>95820441.326807573</v>
      </c>
      <c r="G55" s="436"/>
      <c r="H55" s="424"/>
      <c r="I55" s="424"/>
      <c r="J55" s="424"/>
      <c r="K55" s="424"/>
      <c r="L55" s="424"/>
      <c r="M55" s="424"/>
      <c r="N55" s="424"/>
      <c r="O55" s="424"/>
      <c r="P55" s="468"/>
      <c r="Q55" s="424"/>
    </row>
    <row r="56" spans="2:17">
      <c r="B56" s="4"/>
      <c r="C56" s="426" t="s">
        <v>300</v>
      </c>
      <c r="D56" s="82"/>
      <c r="E56" s="4"/>
      <c r="F56" s="461">
        <f>E30</f>
        <v>95939863.648508012</v>
      </c>
      <c r="G56" s="461"/>
      <c r="H56" s="4"/>
      <c r="I56" s="469"/>
      <c r="J56" s="4"/>
      <c r="K56" s="4"/>
    </row>
    <row r="57" spans="2:17" ht="12.75" customHeight="1">
      <c r="B57" s="4"/>
      <c r="C57" s="423" t="s">
        <v>267</v>
      </c>
      <c r="D57" s="424"/>
      <c r="E57" s="424"/>
      <c r="F57" s="463">
        <f>E40</f>
        <v>21223198.359758452</v>
      </c>
      <c r="G57" s="463"/>
      <c r="H57" s="4"/>
      <c r="I57" s="460"/>
      <c r="J57" s="4"/>
      <c r="K57" s="4"/>
    </row>
    <row r="58" spans="2:17">
      <c r="B58" s="4"/>
      <c r="C58" s="4" t="str">
        <f>"   Annual Revenue Requirement, with "&amp;F17&amp;" Basis Point ROE increase"</f>
        <v xml:space="preserve">   Annual Revenue Requirement, with 0 Basis Point ROE increase</v>
      </c>
      <c r="D58" s="82"/>
      <c r="E58" s="4"/>
      <c r="F58" s="461">
        <f>SUM(F55:F57)</f>
        <v>212983503.33507401</v>
      </c>
      <c r="G58" s="461"/>
      <c r="H58" s="4"/>
      <c r="I58" s="460"/>
      <c r="J58" s="4"/>
      <c r="K58" s="4"/>
    </row>
    <row r="59" spans="2:17">
      <c r="B59" s="4"/>
      <c r="C59" s="451" t="str">
        <f>"   Depreciation  (TCOS, ln "&amp;TCOS!B181&amp;")"</f>
        <v xml:space="preserve">   Depreciation  (TCOS, ln 100)</v>
      </c>
      <c r="D59" s="82"/>
      <c r="E59" s="4"/>
      <c r="F59" s="470">
        <f>TCOS!L181</f>
        <v>51424831.307783537</v>
      </c>
      <c r="G59" s="470"/>
      <c r="H59" s="461"/>
      <c r="I59" s="460"/>
      <c r="J59" s="4"/>
      <c r="K59" s="4"/>
    </row>
    <row r="60" spans="2:17">
      <c r="B60" s="4"/>
      <c r="C60" s="1204" t="str">
        <f>"   Annual Rev. Req, w/ "&amp;F17&amp;" Basis Point ROE increase, less Depreciation"</f>
        <v xml:space="preserve">   Annual Rev. Req, w/ 0 Basis Point ROE increase, less Depreciation</v>
      </c>
      <c r="D60" s="1283"/>
      <c r="E60" s="4"/>
      <c r="F60" s="461">
        <f>F58-F59</f>
        <v>161558672.02729046</v>
      </c>
      <c r="G60" s="461"/>
      <c r="H60" s="4"/>
      <c r="I60" s="460"/>
      <c r="J60" s="4"/>
      <c r="K60" s="4"/>
    </row>
    <row r="61" spans="2:17">
      <c r="B61" s="4"/>
      <c r="C61" s="1283"/>
      <c r="D61" s="1283"/>
      <c r="E61" s="4"/>
      <c r="F61" s="4"/>
      <c r="G61" s="4"/>
      <c r="H61" s="4"/>
      <c r="I61" s="460"/>
      <c r="J61" s="4"/>
      <c r="K61" s="4"/>
    </row>
    <row r="62" spans="2:17" ht="15.75">
      <c r="B62" s="4"/>
      <c r="C62" s="422" t="str">
        <f>"C.   Determine FCR with hypothetical "&amp;F17&amp;" basis point ROE increase."</f>
        <v>C.   Determine FCR with hypothetical 0 basis point ROE increase.</v>
      </c>
      <c r="D62" s="82"/>
      <c r="E62" s="4"/>
      <c r="F62" s="4"/>
      <c r="G62" s="4"/>
      <c r="H62" s="4"/>
      <c r="I62" s="460"/>
      <c r="J62" s="4"/>
      <c r="K62" s="4"/>
    </row>
    <row r="63" spans="2:17">
      <c r="B63" s="4"/>
      <c r="C63" s="4"/>
      <c r="D63" s="82"/>
      <c r="E63" s="4"/>
      <c r="F63" s="4"/>
      <c r="G63" s="4"/>
      <c r="H63" s="4"/>
      <c r="I63" s="460"/>
      <c r="J63" s="4"/>
      <c r="K63" s="4"/>
    </row>
    <row r="64" spans="2:17">
      <c r="B64" s="4"/>
      <c r="C64" s="451" t="str">
        <f>"   Net Transmission Plant  (TCOS, ln "&amp;TCOS!B95&amp;")"</f>
        <v xml:space="preserve">   Net Transmission Plant  (TCOS, ln 42)</v>
      </c>
      <c r="D64" s="82"/>
      <c r="E64" s="4"/>
      <c r="F64" s="461">
        <f>TCOS!L95</f>
        <v>1454321112.3938463</v>
      </c>
      <c r="G64" s="461"/>
      <c r="H64" s="461"/>
      <c r="I64" s="471"/>
      <c r="J64" s="4"/>
      <c r="K64" s="4"/>
    </row>
    <row r="65" spans="2:11">
      <c r="B65" s="4"/>
      <c r="C65" s="4" t="str">
        <f>"   Annual Revenue Requirement, with "&amp;F17&amp;" Basis Point ROE increase"</f>
        <v xml:space="preserve">   Annual Revenue Requirement, with 0 Basis Point ROE increase</v>
      </c>
      <c r="D65" s="82"/>
      <c r="E65" s="4"/>
      <c r="F65" s="461">
        <f>F58</f>
        <v>212983503.33507401</v>
      </c>
      <c r="G65" s="461"/>
      <c r="H65" s="4"/>
      <c r="I65" s="460"/>
      <c r="J65" s="4"/>
      <c r="K65" s="4"/>
    </row>
    <row r="66" spans="2:11">
      <c r="B66" s="4"/>
      <c r="C66" s="4" t="str">
        <f>"   FCR with "&amp;F17&amp;" Basis Point increase in ROE"</f>
        <v xml:space="preserve">   FCR with 0 Basis Point increase in ROE</v>
      </c>
      <c r="D66" s="82"/>
      <c r="E66" s="4"/>
      <c r="F66" s="84">
        <f>F65/F64</f>
        <v>0.14644874609878847</v>
      </c>
      <c r="G66" s="84"/>
      <c r="H66" s="84"/>
      <c r="I66" s="460"/>
      <c r="J66" s="4"/>
      <c r="K66" s="4"/>
    </row>
    <row r="67" spans="2:11">
      <c r="B67" s="4"/>
      <c r="C67" s="72"/>
      <c r="D67" s="82"/>
      <c r="E67" s="4"/>
      <c r="F67" s="4"/>
      <c r="G67" s="4"/>
      <c r="H67" s="4"/>
      <c r="I67" s="460"/>
      <c r="J67" s="4"/>
      <c r="K67" s="4"/>
    </row>
    <row r="68" spans="2:11">
      <c r="B68" s="4"/>
      <c r="C68" s="4" t="str">
        <f>"   Annual Rev. Req, w / "&amp;F17&amp;" Basis Point ROE increase, less Dep."</f>
        <v xml:space="preserve">   Annual Rev. Req, w / 0 Basis Point ROE increase, less Dep.</v>
      </c>
      <c r="D68" s="82"/>
      <c r="E68" s="4"/>
      <c r="F68" s="461">
        <f>F60</f>
        <v>161558672.02729046</v>
      </c>
      <c r="G68" s="461"/>
      <c r="H68" s="4"/>
      <c r="I68" s="460"/>
      <c r="J68" s="4"/>
      <c r="K68" s="4"/>
    </row>
    <row r="69" spans="2:11">
      <c r="B69" s="4"/>
      <c r="C69" s="4" t="str">
        <f>"   FCR with "&amp;F17&amp;" Basis Point ROE increase, less Depreciation"</f>
        <v xml:space="preserve">   FCR with 0 Basis Point ROE increase, less Depreciation</v>
      </c>
      <c r="D69" s="82"/>
      <c r="E69" s="4"/>
      <c r="F69" s="84">
        <f>F68/F64</f>
        <v>0.11108872081308174</v>
      </c>
      <c r="G69" s="84"/>
      <c r="H69" s="4"/>
      <c r="I69" s="460"/>
      <c r="J69" s="4"/>
      <c r="K69" s="4"/>
    </row>
    <row r="70" spans="2:11">
      <c r="B70" s="4"/>
      <c r="C70" s="451" t="str">
        <f>"   FCR less Depreciation  (TCOS, ln "&amp;TCOS!B34&amp;")"</f>
        <v xml:space="preserve">   FCR less Depreciation  (TCOS, ln 10)</v>
      </c>
      <c r="D70" s="82"/>
      <c r="E70" s="4"/>
      <c r="F70" s="472">
        <f>TCOS!L34</f>
        <v>0.11108872081308177</v>
      </c>
      <c r="G70" s="472"/>
      <c r="H70" s="4"/>
      <c r="I70" s="460"/>
      <c r="J70" s="4"/>
      <c r="K70" s="4"/>
    </row>
    <row r="71" spans="2:11">
      <c r="B71" s="4"/>
      <c r="C71" s="1204" t="str">
        <f>"   Incremental FCR with "&amp;F17&amp;" Basis Point ROE increase, less Depreciation"</f>
        <v xml:space="preserve">   Incremental FCR with 0 Basis Point ROE increase, less Depreciation</v>
      </c>
      <c r="D71" s="1283"/>
      <c r="E71" s="4"/>
      <c r="F71" s="84">
        <f>F69-F70</f>
        <v>0</v>
      </c>
      <c r="G71" s="84"/>
      <c r="H71" s="4"/>
      <c r="I71" s="460"/>
      <c r="J71" s="4"/>
      <c r="K71" s="4"/>
    </row>
    <row r="72" spans="2:11">
      <c r="B72" s="4"/>
      <c r="C72" s="1283"/>
      <c r="D72" s="1283"/>
      <c r="E72" s="4"/>
      <c r="F72" s="84"/>
      <c r="G72" s="84"/>
      <c r="H72" s="4"/>
      <c r="I72" s="460"/>
      <c r="J72" s="4"/>
      <c r="K72" s="4"/>
    </row>
    <row r="73" spans="2:11" ht="18.75">
      <c r="B73" s="421" t="s">
        <v>174</v>
      </c>
      <c r="C73" s="13" t="s">
        <v>268</v>
      </c>
      <c r="D73" s="82"/>
      <c r="E73" s="4"/>
      <c r="F73" s="84"/>
      <c r="G73" s="84"/>
      <c r="H73" s="4"/>
      <c r="I73" s="460"/>
      <c r="J73" s="4"/>
      <c r="K73" s="4"/>
    </row>
    <row r="74" spans="2:11">
      <c r="B74" s="4"/>
      <c r="C74" s="4"/>
      <c r="D74" s="82"/>
      <c r="E74" s="4"/>
      <c r="F74" s="84"/>
      <c r="G74" s="84"/>
      <c r="H74" s="4"/>
      <c r="I74" s="460"/>
      <c r="J74" s="4"/>
      <c r="K74" s="4"/>
    </row>
    <row r="75" spans="2:11">
      <c r="B75" s="4"/>
      <c r="C75" s="4" t="str">
        <f>+"Average Transmission Plant Balance for "&amp;TCOS!L4&amp;" (TCOS, ln "&amp;TCOS!B68&amp;")"</f>
        <v>Average Transmission Plant Balance for 2025 (TCOS, ln 21)</v>
      </c>
      <c r="D75" s="82"/>
      <c r="H75" s="460">
        <f>TCOS!L68</f>
        <v>1934473695.2738461</v>
      </c>
      <c r="J75" s="4"/>
      <c r="K75" s="4"/>
    </row>
    <row r="76" spans="2:11">
      <c r="B76" s="4"/>
      <c r="C76" s="473" t="str">
        <f>"Annual Depreciation and Amortization Expense (TCOS, ln "&amp;TCOS!B181&amp;")"</f>
        <v>Annual Depreciation and Amortization Expense (TCOS, ln 100)</v>
      </c>
      <c r="D76" s="82"/>
      <c r="E76" s="4"/>
      <c r="H76" s="474">
        <f>TCOS!L181</f>
        <v>51424831.307783537</v>
      </c>
      <c r="I76" s="460"/>
      <c r="J76" s="4"/>
      <c r="K76" s="4"/>
    </row>
    <row r="77" spans="2:11">
      <c r="B77" s="4"/>
      <c r="C77" s="4" t="s">
        <v>269</v>
      </c>
      <c r="D77" s="82"/>
      <c r="E77" s="4"/>
      <c r="H77" s="84">
        <f>+H76/H75</f>
        <v>2.6583370677730402E-2</v>
      </c>
      <c r="I77" s="476"/>
      <c r="J77" s="4"/>
      <c r="K77" s="4"/>
    </row>
    <row r="78" spans="2:11">
      <c r="B78" s="4"/>
      <c r="C78" s="4" t="s">
        <v>270</v>
      </c>
      <c r="D78" s="82"/>
      <c r="E78" s="4"/>
      <c r="H78" s="476">
        <f>1/H77</f>
        <v>37.61750201368281</v>
      </c>
      <c r="I78" s="460"/>
      <c r="J78" s="4"/>
      <c r="K78" s="4"/>
    </row>
    <row r="79" spans="2:11">
      <c r="B79" s="4"/>
      <c r="C79" s="4" t="s">
        <v>271</v>
      </c>
      <c r="D79" s="82"/>
      <c r="E79" s="4"/>
      <c r="H79" s="477">
        <f>ROUND(H78,0)</f>
        <v>38</v>
      </c>
      <c r="I79" s="460"/>
      <c r="J79" s="4"/>
      <c r="K79" s="4"/>
    </row>
    <row r="80" spans="2:11">
      <c r="B80" s="4"/>
      <c r="C80" s="4"/>
      <c r="D80" s="82"/>
      <c r="E80" s="4"/>
      <c r="H80" s="477"/>
      <c r="I80" s="460"/>
      <c r="J80" s="4"/>
      <c r="K80" s="4"/>
    </row>
    <row r="81" spans="1:17">
      <c r="C81" s="478"/>
      <c r="D81" s="477"/>
      <c r="E81" s="477"/>
      <c r="F81" s="477"/>
      <c r="G81" s="477"/>
      <c r="H81" s="475"/>
      <c r="I81" s="475"/>
      <c r="J81" s="479"/>
      <c r="K81" s="479"/>
      <c r="L81" s="479"/>
      <c r="M81" s="479"/>
      <c r="N81" s="479"/>
      <c r="O81" s="479"/>
      <c r="Q81" s="479"/>
    </row>
    <row r="82" spans="1:17">
      <c r="C82" s="478"/>
      <c r="D82" s="477"/>
      <c r="E82" s="477"/>
      <c r="F82" s="477"/>
      <c r="G82" s="477"/>
      <c r="H82" s="475"/>
      <c r="I82" s="475"/>
      <c r="J82" s="479"/>
      <c r="K82" s="479"/>
      <c r="L82" s="479"/>
      <c r="M82" s="479"/>
      <c r="N82" s="479"/>
      <c r="O82" s="479"/>
      <c r="Q82" s="479"/>
    </row>
    <row r="83" spans="1:17" ht="20.25">
      <c r="A83" s="419" t="s">
        <v>763</v>
      </c>
      <c r="B83" s="4"/>
      <c r="C83" s="4"/>
      <c r="D83" s="82"/>
      <c r="E83" s="4"/>
      <c r="F83" s="84"/>
      <c r="G83" s="84"/>
      <c r="H83" s="4"/>
      <c r="I83" s="460"/>
      <c r="L83" s="11"/>
      <c r="M83" s="11"/>
      <c r="N83" s="11"/>
      <c r="O83" s="11" t="str">
        <f>"Page "&amp;SUM(Q$3:Q83)&amp;" of "</f>
        <v xml:space="preserve">Page 2 of </v>
      </c>
      <c r="P83" s="420">
        <f>COUNT(Q$8:Q$58123)</f>
        <v>15</v>
      </c>
      <c r="Q83" s="547">
        <v>1</v>
      </c>
    </row>
    <row r="84" spans="1:17">
      <c r="B84" s="4"/>
      <c r="C84" s="4"/>
      <c r="D84" s="82"/>
      <c r="E84" s="4"/>
      <c r="F84" s="4"/>
      <c r="G84" s="4"/>
      <c r="H84" s="4"/>
      <c r="I84" s="460"/>
      <c r="J84" s="4"/>
      <c r="K84" s="4"/>
    </row>
    <row r="85" spans="1:17" ht="18">
      <c r="B85" s="421" t="s">
        <v>175</v>
      </c>
      <c r="C85" s="480" t="s">
        <v>291</v>
      </c>
      <c r="D85" s="82"/>
      <c r="E85" s="4"/>
      <c r="F85" s="4"/>
      <c r="G85" s="4"/>
      <c r="H85" s="4"/>
      <c r="I85" s="460"/>
      <c r="J85" s="460"/>
      <c r="K85" s="475"/>
      <c r="L85" s="460"/>
      <c r="M85" s="460"/>
      <c r="N85" s="460"/>
      <c r="O85" s="460"/>
      <c r="Q85" s="475">
        <v>1</v>
      </c>
    </row>
    <row r="86" spans="1:17" ht="18.75">
      <c r="B86" s="421"/>
      <c r="C86" s="13"/>
      <c r="D86" s="82"/>
      <c r="E86" s="4"/>
      <c r="F86" s="4"/>
      <c r="G86" s="4"/>
      <c r="H86" s="4"/>
      <c r="I86" s="460"/>
      <c r="J86" s="460"/>
      <c r="K86" s="475"/>
      <c r="L86" s="460"/>
      <c r="M86" s="460"/>
      <c r="N86" s="460"/>
      <c r="O86" s="460"/>
      <c r="Q86" s="475">
        <v>1</v>
      </c>
    </row>
    <row r="87" spans="1:17" ht="18.75">
      <c r="B87" s="421"/>
      <c r="C87" s="13" t="s">
        <v>292</v>
      </c>
      <c r="D87" s="82"/>
      <c r="E87" s="4"/>
      <c r="F87" s="4"/>
      <c r="G87" s="4"/>
      <c r="H87" s="4"/>
      <c r="I87" s="460"/>
      <c r="J87" s="460"/>
      <c r="K87" s="475"/>
      <c r="L87" s="460"/>
      <c r="M87" s="460"/>
      <c r="N87" s="460"/>
      <c r="O87" s="460"/>
      <c r="Q87" s="475"/>
    </row>
    <row r="88" spans="1:17" ht="15.75" thickBot="1">
      <c r="C88" s="254"/>
      <c r="D88" s="82"/>
      <c r="E88" s="4"/>
      <c r="F88" s="4"/>
      <c r="G88" s="4"/>
      <c r="H88" s="4"/>
      <c r="I88" s="460"/>
      <c r="J88" s="460"/>
      <c r="K88" s="475"/>
      <c r="L88" s="460"/>
      <c r="M88" s="460"/>
      <c r="N88" s="460"/>
      <c r="O88" s="460"/>
      <c r="Q88" s="475"/>
    </row>
    <row r="89" spans="1:17" ht="15.75">
      <c r="C89" s="422" t="s">
        <v>293</v>
      </c>
      <c r="D89" s="82"/>
      <c r="E89" s="4"/>
      <c r="F89" s="4"/>
      <c r="G89" s="4"/>
      <c r="H89" s="645"/>
      <c r="I89" s="4" t="s">
        <v>272</v>
      </c>
      <c r="J89" s="4"/>
      <c r="K89" s="4"/>
      <c r="L89" s="548">
        <f>+J95</f>
        <v>2025</v>
      </c>
      <c r="M89" s="532" t="s">
        <v>255</v>
      </c>
      <c r="N89" s="532" t="s">
        <v>256</v>
      </c>
      <c r="O89" s="533" t="s">
        <v>257</v>
      </c>
    </row>
    <row r="90" spans="1:17" ht="15.75">
      <c r="C90" s="422"/>
      <c r="D90" s="82"/>
      <c r="E90" s="4"/>
      <c r="F90" s="4"/>
      <c r="H90" s="4"/>
      <c r="I90" s="484"/>
      <c r="J90" s="484"/>
      <c r="K90" s="485"/>
      <c r="L90" s="549" t="s">
        <v>456</v>
      </c>
      <c r="M90" s="550">
        <f>VLOOKUP(J95,C102:P161,10)</f>
        <v>788442.27099835314</v>
      </c>
      <c r="N90" s="550">
        <f>VLOOKUP(J95,C102:P161,12)</f>
        <v>788442.27099835314</v>
      </c>
      <c r="O90" s="551">
        <f>+N90-M90</f>
        <v>0</v>
      </c>
      <c r="Q90" s="485"/>
    </row>
    <row r="91" spans="1:17">
      <c r="C91" s="487" t="s">
        <v>294</v>
      </c>
      <c r="D91" s="1270" t="s">
        <v>929</v>
      </c>
      <c r="E91" s="1271"/>
      <c r="F91" s="1271"/>
      <c r="G91" s="1271"/>
      <c r="H91" s="1271"/>
      <c r="I91" s="1271"/>
      <c r="J91" s="460"/>
      <c r="K91" s="475"/>
      <c r="L91" s="549" t="s">
        <v>457</v>
      </c>
      <c r="M91" s="552">
        <f>VLOOKUP(J95,C102:P161,6)</f>
        <v>754692.23561139568</v>
      </c>
      <c r="N91" s="552">
        <f>VLOOKUP(J95,C102:P161,7)</f>
        <v>754692.23561139568</v>
      </c>
      <c r="O91" s="553">
        <f>+N91-M91</f>
        <v>0</v>
      </c>
      <c r="Q91" s="475"/>
    </row>
    <row r="92" spans="1:17" ht="13.5" thickBot="1">
      <c r="C92" s="489"/>
      <c r="D92" s="1271"/>
      <c r="E92" s="1271"/>
      <c r="F92" s="1271"/>
      <c r="G92" s="1271"/>
      <c r="H92" s="1271"/>
      <c r="I92" s="1271"/>
      <c r="J92" s="460"/>
      <c r="K92" s="475"/>
      <c r="L92" s="499" t="s">
        <v>458</v>
      </c>
      <c r="M92" s="554">
        <f>+M91-M90</f>
        <v>-33750.035386957461</v>
      </c>
      <c r="N92" s="554">
        <f>+N91-N90</f>
        <v>-33750.035386957461</v>
      </c>
      <c r="O92" s="555">
        <f>+O91-O90</f>
        <v>0</v>
      </c>
      <c r="Q92" s="475"/>
    </row>
    <row r="93" spans="1:17" ht="13.5" thickBot="1">
      <c r="C93" s="489"/>
      <c r="D93" s="4"/>
      <c r="E93" s="490"/>
      <c r="F93" s="490"/>
      <c r="G93" s="490"/>
      <c r="H93" s="490"/>
      <c r="I93" s="490"/>
      <c r="J93" s="490"/>
      <c r="K93" s="490"/>
      <c r="L93" s="490"/>
      <c r="M93" s="490"/>
      <c r="N93" s="490"/>
      <c r="O93" s="490"/>
      <c r="Q93" s="490"/>
    </row>
    <row r="94" spans="1:17" ht="13.5" thickBot="1">
      <c r="A94" s="978"/>
      <c r="C94" s="491" t="s">
        <v>295</v>
      </c>
      <c r="D94" s="492"/>
      <c r="E94" s="492"/>
      <c r="F94" s="492"/>
      <c r="G94" s="492"/>
      <c r="H94" s="492"/>
      <c r="I94" s="492"/>
      <c r="J94" s="492"/>
      <c r="Q94"/>
    </row>
    <row r="95" spans="1:17" ht="15">
      <c r="A95" s="978"/>
      <c r="C95" s="494" t="s">
        <v>273</v>
      </c>
      <c r="D95" s="946">
        <v>8327150.3599999994</v>
      </c>
      <c r="E95" s="4" t="s">
        <v>274</v>
      </c>
      <c r="H95" s="82"/>
      <c r="I95" s="82"/>
      <c r="J95" s="495">
        <v>2025</v>
      </c>
      <c r="K95" s="138"/>
      <c r="L95" s="1284" t="s">
        <v>275</v>
      </c>
      <c r="M95" s="1284"/>
      <c r="N95" s="1284"/>
      <c r="O95" s="1284"/>
      <c r="Q95" s="138"/>
    </row>
    <row r="96" spans="1:17">
      <c r="A96" s="978"/>
      <c r="C96" s="494" t="s">
        <v>276</v>
      </c>
      <c r="D96" s="647">
        <v>2009</v>
      </c>
      <c r="E96" s="494" t="s">
        <v>277</v>
      </c>
      <c r="F96" s="82"/>
      <c r="G96" s="82"/>
      <c r="I96"/>
      <c r="J96" s="650">
        <v>0</v>
      </c>
      <c r="K96" s="496"/>
      <c r="L96" s="475" t="s">
        <v>476</v>
      </c>
      <c r="Q96" s="496"/>
    </row>
    <row r="97" spans="1:17">
      <c r="A97" s="978"/>
      <c r="C97" s="494" t="s">
        <v>278</v>
      </c>
      <c r="D97" s="946">
        <v>6</v>
      </c>
      <c r="E97" s="494" t="s">
        <v>279</v>
      </c>
      <c r="F97" s="82"/>
      <c r="G97" s="82"/>
      <c r="I97"/>
      <c r="J97" s="497">
        <f>$F$70</f>
        <v>0.11108872081308177</v>
      </c>
      <c r="K97" s="84"/>
      <c r="L97" s="4" t="str">
        <f>"          INPUT TRUE-UP ARR (WITH &amp; WITHOUT INCENTIVES) FROM EACH PRIOR YEAR"</f>
        <v xml:space="preserve">          INPUT TRUE-UP ARR (WITH &amp; WITHOUT INCENTIVES) FROM EACH PRIOR YEAR</v>
      </c>
      <c r="Q97" s="84"/>
    </row>
    <row r="98" spans="1:17">
      <c r="A98" s="978"/>
      <c r="C98" s="494" t="s">
        <v>280</v>
      </c>
      <c r="D98" s="498">
        <f>H79</f>
        <v>38</v>
      </c>
      <c r="E98" s="494" t="s">
        <v>281</v>
      </c>
      <c r="F98" s="82"/>
      <c r="G98" s="82"/>
      <c r="I98"/>
      <c r="J98" s="497">
        <f>IF(H89="",J97,$F$69)</f>
        <v>0.11108872081308177</v>
      </c>
      <c r="K98" s="84"/>
      <c r="L98" s="4" t="s">
        <v>363</v>
      </c>
      <c r="M98" s="84"/>
      <c r="N98" s="84"/>
      <c r="O98" s="84"/>
      <c r="Q98" s="84"/>
    </row>
    <row r="99" spans="1:17" ht="13.5" thickBot="1">
      <c r="A99" s="978"/>
      <c r="C99" s="494" t="s">
        <v>282</v>
      </c>
      <c r="D99" s="649" t="s">
        <v>930</v>
      </c>
      <c r="E99" s="499" t="s">
        <v>283</v>
      </c>
      <c r="F99" s="500"/>
      <c r="G99" s="500"/>
      <c r="H99" s="501"/>
      <c r="I99" s="501"/>
      <c r="J99" s="488">
        <f>IF(D95=0,0,D95/D98)</f>
        <v>219135.53578947368</v>
      </c>
      <c r="K99" s="475"/>
      <c r="L99" s="475" t="s">
        <v>364</v>
      </c>
      <c r="M99" s="475"/>
      <c r="N99" s="475"/>
      <c r="O99" s="475"/>
      <c r="Q99" s="475"/>
    </row>
    <row r="100" spans="1:17" ht="38.25">
      <c r="A100" s="12"/>
      <c r="B100" s="12"/>
      <c r="C100" s="502" t="s">
        <v>273</v>
      </c>
      <c r="D100" s="503" t="s">
        <v>284</v>
      </c>
      <c r="E100" s="504" t="s">
        <v>285</v>
      </c>
      <c r="F100" s="503" t="s">
        <v>286</v>
      </c>
      <c r="G100" s="503" t="s">
        <v>459</v>
      </c>
      <c r="H100" s="504" t="s">
        <v>357</v>
      </c>
      <c r="I100" s="505" t="s">
        <v>357</v>
      </c>
      <c r="J100" s="502" t="s">
        <v>296</v>
      </c>
      <c r="K100" s="506"/>
      <c r="L100" s="504" t="s">
        <v>359</v>
      </c>
      <c r="M100" s="504" t="s">
        <v>365</v>
      </c>
      <c r="N100" s="504" t="s">
        <v>359</v>
      </c>
      <c r="O100" s="504" t="s">
        <v>367</v>
      </c>
      <c r="P100" s="504" t="s">
        <v>287</v>
      </c>
      <c r="Q100" s="131"/>
    </row>
    <row r="101" spans="1:17" ht="13.5" thickBot="1">
      <c r="C101" s="507" t="s">
        <v>178</v>
      </c>
      <c r="D101" s="508" t="s">
        <v>179</v>
      </c>
      <c r="E101" s="507" t="s">
        <v>38</v>
      </c>
      <c r="F101" s="508" t="s">
        <v>179</v>
      </c>
      <c r="G101" s="508" t="s">
        <v>179</v>
      </c>
      <c r="H101" s="509" t="s">
        <v>299</v>
      </c>
      <c r="I101" s="510" t="s">
        <v>301</v>
      </c>
      <c r="J101" s="507" t="s">
        <v>390</v>
      </c>
      <c r="K101" s="511"/>
      <c r="L101" s="509" t="s">
        <v>288</v>
      </c>
      <c r="M101" s="509" t="s">
        <v>288</v>
      </c>
      <c r="N101" s="509" t="s">
        <v>468</v>
      </c>
      <c r="O101" s="509" t="s">
        <v>468</v>
      </c>
      <c r="P101" s="509" t="s">
        <v>468</v>
      </c>
      <c r="Q101" s="138"/>
    </row>
    <row r="102" spans="1:17">
      <c r="C102" s="512">
        <f>IF(D96= "","-",D96)</f>
        <v>2009</v>
      </c>
      <c r="D102" s="477">
        <f>+D95</f>
        <v>8327150.3599999994</v>
      </c>
      <c r="E102" s="513">
        <f>+J99/12*(12-D97)</f>
        <v>109567.76789473684</v>
      </c>
      <c r="F102" s="556">
        <f t="shared" ref="F102:F133" si="0">+D102-E102</f>
        <v>8217582.5921052629</v>
      </c>
      <c r="G102" s="477">
        <f t="shared" ref="G102:G133" si="1">+(D102+F102)/2</f>
        <v>8272366.4760526307</v>
      </c>
      <c r="H102" s="514">
        <f>+J97*G102+E102</f>
        <v>1028534.3778164446</v>
      </c>
      <c r="I102" s="515">
        <f>+J98*G102+E102</f>
        <v>1028534.3778164446</v>
      </c>
      <c r="J102" s="516">
        <f t="shared" ref="J102:J133" si="2">+I102-H102</f>
        <v>0</v>
      </c>
      <c r="K102" s="516"/>
      <c r="L102" s="517">
        <v>0</v>
      </c>
      <c r="M102" s="557">
        <f t="shared" ref="M102:M133" si="3">IF(L102&lt;&gt;0,+H102-L102,0)</f>
        <v>0</v>
      </c>
      <c r="N102" s="517">
        <v>0</v>
      </c>
      <c r="O102" s="557">
        <f t="shared" ref="O102:O133" si="4">IF(N102&lt;&gt;0,+I102-N102,0)</f>
        <v>0</v>
      </c>
      <c r="P102" s="557">
        <f t="shared" ref="P102:P133" si="5">+O102-M102</f>
        <v>0</v>
      </c>
      <c r="Q102" s="479"/>
    </row>
    <row r="103" spans="1:17">
      <c r="C103" s="512">
        <f>IF(D96="","-",+C102+1)</f>
        <v>2010</v>
      </c>
      <c r="D103" s="477">
        <f t="shared" ref="D103:D134" si="6">F102</f>
        <v>8217582.5921052629</v>
      </c>
      <c r="E103" s="519">
        <f t="shared" ref="E103:E134" si="7">IF(D103&gt;$J$99,$J$99,D103)</f>
        <v>219135.53578947368</v>
      </c>
      <c r="F103" s="519">
        <f t="shared" si="0"/>
        <v>7998447.056315789</v>
      </c>
      <c r="G103" s="477">
        <f t="shared" si="1"/>
        <v>8108014.8242105264</v>
      </c>
      <c r="H103" s="513">
        <f>+J97*G103+E103</f>
        <v>1119844.5309445253</v>
      </c>
      <c r="I103" s="520">
        <f>+J98*G103+E103</f>
        <v>1119844.5309445253</v>
      </c>
      <c r="J103" s="516">
        <f t="shared" si="2"/>
        <v>0</v>
      </c>
      <c r="K103" s="516"/>
      <c r="L103" s="521">
        <v>1408114.4789272889</v>
      </c>
      <c r="M103" s="516">
        <f t="shared" si="3"/>
        <v>-288269.94798276364</v>
      </c>
      <c r="N103" s="521">
        <v>1408114.4789272889</v>
      </c>
      <c r="O103" s="516">
        <f t="shared" si="4"/>
        <v>-288269.94798276364</v>
      </c>
      <c r="P103" s="516">
        <f t="shared" si="5"/>
        <v>0</v>
      </c>
      <c r="Q103" s="479"/>
    </row>
    <row r="104" spans="1:17">
      <c r="C104" s="512">
        <f>IF(D96="","-",+C103+1)</f>
        <v>2011</v>
      </c>
      <c r="D104" s="477">
        <f t="shared" si="6"/>
        <v>7998447.056315789</v>
      </c>
      <c r="E104" s="519">
        <f t="shared" si="7"/>
        <v>219135.53578947368</v>
      </c>
      <c r="F104" s="519">
        <f t="shared" si="0"/>
        <v>7779311.5205263151</v>
      </c>
      <c r="G104" s="477">
        <f t="shared" si="1"/>
        <v>7888879.2884210516</v>
      </c>
      <c r="H104" s="513">
        <f>+J97*G104+E104</f>
        <v>1095501.0445889831</v>
      </c>
      <c r="I104" s="520">
        <f>+J98*G104+E104</f>
        <v>1095501.0445889831</v>
      </c>
      <c r="J104" s="516">
        <f t="shared" si="2"/>
        <v>0</v>
      </c>
      <c r="K104" s="516"/>
      <c r="L104" s="521">
        <v>1487355</v>
      </c>
      <c r="M104" s="516">
        <f t="shared" si="3"/>
        <v>-391853.95541101694</v>
      </c>
      <c r="N104" s="521">
        <v>1487355</v>
      </c>
      <c r="O104" s="516">
        <f t="shared" si="4"/>
        <v>-391853.95541101694</v>
      </c>
      <c r="P104" s="516">
        <f t="shared" si="5"/>
        <v>0</v>
      </c>
      <c r="Q104" s="479"/>
    </row>
    <row r="105" spans="1:17">
      <c r="C105" s="512">
        <f>IF(D96="","-",+C104+1)</f>
        <v>2012</v>
      </c>
      <c r="D105" s="477">
        <f t="shared" si="6"/>
        <v>7779311.5205263151</v>
      </c>
      <c r="E105" s="519">
        <f t="shared" si="7"/>
        <v>219135.53578947368</v>
      </c>
      <c r="F105" s="519">
        <f t="shared" si="0"/>
        <v>7560175.9847368412</v>
      </c>
      <c r="G105" s="477">
        <f t="shared" si="1"/>
        <v>7669743.7526315786</v>
      </c>
      <c r="H105" s="513">
        <f>+J97*G105+E105</f>
        <v>1071157.5582334413</v>
      </c>
      <c r="I105" s="520">
        <f>+J98*G105+E105</f>
        <v>1071157.5582334413</v>
      </c>
      <c r="J105" s="516">
        <f t="shared" si="2"/>
        <v>0</v>
      </c>
      <c r="K105" s="516"/>
      <c r="L105" s="521">
        <v>1319695.2352555101</v>
      </c>
      <c r="M105" s="516">
        <f t="shared" si="3"/>
        <v>-248537.67702206876</v>
      </c>
      <c r="N105" s="521">
        <v>1319695.2352555101</v>
      </c>
      <c r="O105" s="516">
        <f t="shared" si="4"/>
        <v>-248537.67702206876</v>
      </c>
      <c r="P105" s="516">
        <f t="shared" si="5"/>
        <v>0</v>
      </c>
      <c r="Q105" s="479"/>
    </row>
    <row r="106" spans="1:17">
      <c r="C106" s="512">
        <f>IF(D96="","-",+C105+1)</f>
        <v>2013</v>
      </c>
      <c r="D106" s="477">
        <f t="shared" si="6"/>
        <v>7560175.9847368412</v>
      </c>
      <c r="E106" s="519">
        <f t="shared" si="7"/>
        <v>219135.53578947368</v>
      </c>
      <c r="F106" s="519">
        <f t="shared" si="0"/>
        <v>7341040.4489473673</v>
      </c>
      <c r="G106" s="477">
        <f t="shared" si="1"/>
        <v>7450608.2168421037</v>
      </c>
      <c r="H106" s="513">
        <f>+J97*G106+E106</f>
        <v>1046814.0718778991</v>
      </c>
      <c r="I106" s="520">
        <f>+J98*G106+E106</f>
        <v>1046814.0718778991</v>
      </c>
      <c r="J106" s="516">
        <f t="shared" si="2"/>
        <v>0</v>
      </c>
      <c r="K106" s="516"/>
      <c r="L106" s="521">
        <v>1272484</v>
      </c>
      <c r="M106" s="516">
        <f t="shared" si="3"/>
        <v>-225669.92812210089</v>
      </c>
      <c r="N106" s="521">
        <v>1272484</v>
      </c>
      <c r="O106" s="516">
        <f t="shared" si="4"/>
        <v>-225669.92812210089</v>
      </c>
      <c r="P106" s="516">
        <f t="shared" si="5"/>
        <v>0</v>
      </c>
      <c r="Q106" s="479"/>
    </row>
    <row r="107" spans="1:17">
      <c r="C107" s="512">
        <f>IF(D96="","-",+C106+1)</f>
        <v>2014</v>
      </c>
      <c r="D107" s="477">
        <f t="shared" si="6"/>
        <v>7341040.4489473673</v>
      </c>
      <c r="E107" s="519">
        <f t="shared" si="7"/>
        <v>219135.53578947368</v>
      </c>
      <c r="F107" s="519">
        <f t="shared" si="0"/>
        <v>7121904.9131578933</v>
      </c>
      <c r="G107" s="477">
        <f t="shared" si="1"/>
        <v>7231472.6810526308</v>
      </c>
      <c r="H107" s="513">
        <f>+J97*G107+E107</f>
        <v>1022470.5855223573</v>
      </c>
      <c r="I107" s="520">
        <f>+J98*G107+E107</f>
        <v>1022470.5855223573</v>
      </c>
      <c r="J107" s="516">
        <f t="shared" si="2"/>
        <v>0</v>
      </c>
      <c r="K107" s="516"/>
      <c r="L107" s="521">
        <v>1249385</v>
      </c>
      <c r="M107" s="516">
        <f t="shared" si="3"/>
        <v>-226914.41447764274</v>
      </c>
      <c r="N107" s="521">
        <v>1249385</v>
      </c>
      <c r="O107" s="516">
        <f t="shared" si="4"/>
        <v>-226914.41447764274</v>
      </c>
      <c r="P107" s="516">
        <f t="shared" si="5"/>
        <v>0</v>
      </c>
      <c r="Q107" s="479"/>
    </row>
    <row r="108" spans="1:17">
      <c r="C108" s="512">
        <f>IF(D96="","-",+C107+1)</f>
        <v>2015</v>
      </c>
      <c r="D108" s="477">
        <f t="shared" si="6"/>
        <v>7121904.9131578933</v>
      </c>
      <c r="E108" s="519">
        <f t="shared" si="7"/>
        <v>219135.53578947368</v>
      </c>
      <c r="F108" s="519">
        <f t="shared" si="0"/>
        <v>6902769.3773684194</v>
      </c>
      <c r="G108" s="477">
        <f t="shared" si="1"/>
        <v>7012337.1452631559</v>
      </c>
      <c r="H108" s="513">
        <f>+J97*G108+E108</f>
        <v>998127.09916681529</v>
      </c>
      <c r="I108" s="520">
        <f>+J98*G108+E108</f>
        <v>998127.09916681529</v>
      </c>
      <c r="J108" s="516">
        <f t="shared" si="2"/>
        <v>0</v>
      </c>
      <c r="K108" s="516"/>
      <c r="L108" s="521">
        <v>1278273</v>
      </c>
      <c r="M108" s="516">
        <f t="shared" si="3"/>
        <v>-280145.90083318471</v>
      </c>
      <c r="N108" s="521">
        <v>1278273</v>
      </c>
      <c r="O108" s="516">
        <f t="shared" si="4"/>
        <v>-280145.90083318471</v>
      </c>
      <c r="P108" s="516">
        <f t="shared" si="5"/>
        <v>0</v>
      </c>
      <c r="Q108" s="479"/>
    </row>
    <row r="109" spans="1:17">
      <c r="C109" s="512">
        <f>IF(D96="","-",+C108+1)</f>
        <v>2016</v>
      </c>
      <c r="D109" s="477">
        <f t="shared" si="6"/>
        <v>6902769.3773684194</v>
      </c>
      <c r="E109" s="519">
        <f t="shared" si="7"/>
        <v>219135.53578947368</v>
      </c>
      <c r="F109" s="519">
        <f t="shared" si="0"/>
        <v>6683633.8415789455</v>
      </c>
      <c r="G109" s="477">
        <f t="shared" si="1"/>
        <v>6793201.6094736829</v>
      </c>
      <c r="H109" s="513">
        <f>+J97*G109+E109</f>
        <v>973783.61281127343</v>
      </c>
      <c r="I109" s="520">
        <f>+J98*G109+E109</f>
        <v>973783.61281127343</v>
      </c>
      <c r="J109" s="516">
        <f t="shared" si="2"/>
        <v>0</v>
      </c>
      <c r="K109" s="516"/>
      <c r="L109" s="521">
        <v>1254654</v>
      </c>
      <c r="M109" s="516">
        <f t="shared" si="3"/>
        <v>-280870.38718872657</v>
      </c>
      <c r="N109" s="521">
        <v>1254654</v>
      </c>
      <c r="O109" s="516">
        <f t="shared" si="4"/>
        <v>-280870.38718872657</v>
      </c>
      <c r="P109" s="516">
        <f t="shared" si="5"/>
        <v>0</v>
      </c>
      <c r="Q109" s="479"/>
    </row>
    <row r="110" spans="1:17">
      <c r="C110" s="512">
        <f>IF(D96="","-",+C109+1)</f>
        <v>2017</v>
      </c>
      <c r="D110" s="477">
        <f t="shared" si="6"/>
        <v>6683633.8415789455</v>
      </c>
      <c r="E110" s="519">
        <f t="shared" si="7"/>
        <v>219135.53578947368</v>
      </c>
      <c r="F110" s="519">
        <f t="shared" si="0"/>
        <v>6464498.3057894716</v>
      </c>
      <c r="G110" s="477">
        <f t="shared" si="1"/>
        <v>6574066.0736842081</v>
      </c>
      <c r="H110" s="513">
        <f>+J97*G110+E110</f>
        <v>949440.12645573134</v>
      </c>
      <c r="I110" s="520">
        <f>+J98*G110+E110</f>
        <v>949440.12645573134</v>
      </c>
      <c r="J110" s="516">
        <f t="shared" si="2"/>
        <v>0</v>
      </c>
      <c r="K110" s="516"/>
      <c r="L110" s="521">
        <v>1132871</v>
      </c>
      <c r="M110" s="516">
        <f t="shared" si="3"/>
        <v>-183430.87354426866</v>
      </c>
      <c r="N110" s="521">
        <v>1132871</v>
      </c>
      <c r="O110" s="516">
        <f t="shared" si="4"/>
        <v>-183430.87354426866</v>
      </c>
      <c r="P110" s="516">
        <f t="shared" si="5"/>
        <v>0</v>
      </c>
      <c r="Q110" s="479"/>
    </row>
    <row r="111" spans="1:17">
      <c r="C111" s="512">
        <f>IF(D96="","-",+C110+1)</f>
        <v>2018</v>
      </c>
      <c r="D111" s="477">
        <f t="shared" si="6"/>
        <v>6464498.3057894716</v>
      </c>
      <c r="E111" s="519">
        <f t="shared" si="7"/>
        <v>219135.53578947368</v>
      </c>
      <c r="F111" s="519">
        <f t="shared" si="0"/>
        <v>6245362.7699999977</v>
      </c>
      <c r="G111" s="477">
        <f t="shared" si="1"/>
        <v>6354930.5378947351</v>
      </c>
      <c r="H111" s="513">
        <f>+J97*G111+E111</f>
        <v>925096.64010018948</v>
      </c>
      <c r="I111" s="520">
        <f>+J98*G111+E111</f>
        <v>925096.64010018948</v>
      </c>
      <c r="J111" s="516">
        <f t="shared" si="2"/>
        <v>0</v>
      </c>
      <c r="K111" s="516"/>
      <c r="L111" s="521">
        <v>933326</v>
      </c>
      <c r="M111" s="516">
        <f t="shared" si="3"/>
        <v>-8229.3598998105153</v>
      </c>
      <c r="N111" s="521">
        <v>933326</v>
      </c>
      <c r="O111" s="516">
        <f t="shared" si="4"/>
        <v>-8229.3598998105153</v>
      </c>
      <c r="P111" s="516">
        <f t="shared" si="5"/>
        <v>0</v>
      </c>
      <c r="Q111" s="479"/>
    </row>
    <row r="112" spans="1:17">
      <c r="C112" s="512">
        <f>IF(D96="","-",+C111+1)</f>
        <v>2019</v>
      </c>
      <c r="D112" s="477">
        <f t="shared" si="6"/>
        <v>6245362.7699999977</v>
      </c>
      <c r="E112" s="519">
        <f t="shared" si="7"/>
        <v>219135.53578947368</v>
      </c>
      <c r="F112" s="519">
        <f t="shared" si="0"/>
        <v>6026227.2342105238</v>
      </c>
      <c r="G112" s="477">
        <f t="shared" si="1"/>
        <v>6135795.0021052603</v>
      </c>
      <c r="H112" s="513">
        <f>+J97*G112+E112</f>
        <v>900753.1537446474</v>
      </c>
      <c r="I112" s="520">
        <f>+J98*G112+E112</f>
        <v>900753.1537446474</v>
      </c>
      <c r="J112" s="516">
        <f t="shared" si="2"/>
        <v>0</v>
      </c>
      <c r="K112" s="516"/>
      <c r="L112" s="521">
        <v>856880.08063543122</v>
      </c>
      <c r="M112" s="516">
        <f t="shared" si="3"/>
        <v>43873.073109216173</v>
      </c>
      <c r="N112" s="521">
        <v>856880.08063543122</v>
      </c>
      <c r="O112" s="516">
        <f t="shared" si="4"/>
        <v>43873.073109216173</v>
      </c>
      <c r="P112" s="516">
        <f t="shared" si="5"/>
        <v>0</v>
      </c>
      <c r="Q112" s="479"/>
    </row>
    <row r="113" spans="3:17">
      <c r="C113" s="512">
        <f>IF(D96="","-",+C112+1)</f>
        <v>2020</v>
      </c>
      <c r="D113" s="477">
        <f t="shared" si="6"/>
        <v>6026227.2342105238</v>
      </c>
      <c r="E113" s="519">
        <f t="shared" si="7"/>
        <v>219135.53578947368</v>
      </c>
      <c r="F113" s="519">
        <f t="shared" si="0"/>
        <v>5807091.6984210499</v>
      </c>
      <c r="G113" s="477">
        <f t="shared" si="1"/>
        <v>5916659.4663157873</v>
      </c>
      <c r="H113" s="513">
        <f>+J97*G113+E113</f>
        <v>876409.66738910554</v>
      </c>
      <c r="I113" s="520">
        <f>+J98*G113+E113</f>
        <v>876409.66738910554</v>
      </c>
      <c r="J113" s="516">
        <f t="shared" si="2"/>
        <v>0</v>
      </c>
      <c r="K113" s="516"/>
      <c r="L113" s="521">
        <v>804583.945304416</v>
      </c>
      <c r="M113" s="516">
        <f t="shared" si="3"/>
        <v>71825.722084689536</v>
      </c>
      <c r="N113" s="521">
        <v>804583.945304416</v>
      </c>
      <c r="O113" s="516">
        <f t="shared" si="4"/>
        <v>71825.722084689536</v>
      </c>
      <c r="P113" s="516">
        <f t="shared" si="5"/>
        <v>0</v>
      </c>
      <c r="Q113" s="479"/>
    </row>
    <row r="114" spans="3:17">
      <c r="C114" s="512">
        <f>IF(D96="","-",+C113+1)</f>
        <v>2021</v>
      </c>
      <c r="D114" s="477">
        <f t="shared" si="6"/>
        <v>5807091.6984210499</v>
      </c>
      <c r="E114" s="519">
        <f t="shared" si="7"/>
        <v>219135.53578947368</v>
      </c>
      <c r="F114" s="519">
        <f t="shared" si="0"/>
        <v>5587956.1626315759</v>
      </c>
      <c r="G114" s="477">
        <f t="shared" si="1"/>
        <v>5697523.9305263124</v>
      </c>
      <c r="H114" s="513">
        <f>+J97*G114+E114</f>
        <v>852066.18103356345</v>
      </c>
      <c r="I114" s="520">
        <f>+J98*G114+E114</f>
        <v>852066.18103356345</v>
      </c>
      <c r="J114" s="516">
        <f t="shared" si="2"/>
        <v>0</v>
      </c>
      <c r="K114" s="516"/>
      <c r="L114" s="521">
        <v>786904.64425107813</v>
      </c>
      <c r="M114" s="516">
        <f t="shared" si="3"/>
        <v>65161.536782485317</v>
      </c>
      <c r="N114" s="521">
        <v>786904.64425107813</v>
      </c>
      <c r="O114" s="516">
        <f t="shared" si="4"/>
        <v>65161.536782485317</v>
      </c>
      <c r="P114" s="516">
        <f t="shared" si="5"/>
        <v>0</v>
      </c>
      <c r="Q114" s="479"/>
    </row>
    <row r="115" spans="3:17">
      <c r="C115" s="512">
        <f>IF(D96="","-",+C114+1)</f>
        <v>2022</v>
      </c>
      <c r="D115" s="477">
        <f t="shared" si="6"/>
        <v>5587956.1626315759</v>
      </c>
      <c r="E115" s="519">
        <f t="shared" si="7"/>
        <v>219135.53578947368</v>
      </c>
      <c r="F115" s="519">
        <f t="shared" si="0"/>
        <v>5368820.626842102</v>
      </c>
      <c r="G115" s="477">
        <f t="shared" si="1"/>
        <v>5478388.3947368395</v>
      </c>
      <c r="H115" s="513">
        <f>+J97*G115+E115</f>
        <v>827722.69467802159</v>
      </c>
      <c r="I115" s="520">
        <f>+J98*G115+E115</f>
        <v>827722.69467802159</v>
      </c>
      <c r="J115" s="516">
        <f t="shared" si="2"/>
        <v>0</v>
      </c>
      <c r="K115" s="516"/>
      <c r="L115" s="521">
        <v>792609.60205039405</v>
      </c>
      <c r="M115" s="516">
        <f t="shared" si="3"/>
        <v>35113.092627627542</v>
      </c>
      <c r="N115" s="521">
        <v>792609.60205039405</v>
      </c>
      <c r="O115" s="516">
        <f t="shared" si="4"/>
        <v>35113.092627627542</v>
      </c>
      <c r="P115" s="516">
        <f t="shared" si="5"/>
        <v>0</v>
      </c>
      <c r="Q115" s="479"/>
    </row>
    <row r="116" spans="3:17">
      <c r="C116" s="512">
        <f>IF(D96="","-",+C115+1)</f>
        <v>2023</v>
      </c>
      <c r="D116" s="477">
        <f t="shared" si="6"/>
        <v>5368820.626842102</v>
      </c>
      <c r="E116" s="519">
        <f t="shared" si="7"/>
        <v>219135.53578947368</v>
      </c>
      <c r="F116" s="519">
        <f t="shared" si="0"/>
        <v>5149685.0910526281</v>
      </c>
      <c r="G116" s="477">
        <f t="shared" si="1"/>
        <v>5259252.8589473646</v>
      </c>
      <c r="H116" s="513">
        <f>+J97*G116+E116</f>
        <v>803379.20832247962</v>
      </c>
      <c r="I116" s="520">
        <f>+J98*G116+E116</f>
        <v>803379.20832247962</v>
      </c>
      <c r="J116" s="516">
        <f t="shared" si="2"/>
        <v>0</v>
      </c>
      <c r="K116" s="516"/>
      <c r="L116" s="521">
        <v>835543.80608912953</v>
      </c>
      <c r="M116" s="516">
        <f t="shared" si="3"/>
        <v>-32164.597766649909</v>
      </c>
      <c r="N116" s="521">
        <v>835543.80608912953</v>
      </c>
      <c r="O116" s="516">
        <f t="shared" si="4"/>
        <v>-32164.597766649909</v>
      </c>
      <c r="P116" s="516">
        <f t="shared" si="5"/>
        <v>0</v>
      </c>
      <c r="Q116" s="479"/>
    </row>
    <row r="117" spans="3:17">
      <c r="C117" s="512">
        <f>IF(D96="","-",+C116+1)</f>
        <v>2024</v>
      </c>
      <c r="D117" s="477">
        <f t="shared" si="6"/>
        <v>5149685.0910526281</v>
      </c>
      <c r="E117" s="519">
        <f t="shared" si="7"/>
        <v>219135.53578947368</v>
      </c>
      <c r="F117" s="519">
        <f t="shared" si="0"/>
        <v>4930549.5552631542</v>
      </c>
      <c r="G117" s="477">
        <f t="shared" si="1"/>
        <v>5040117.3231578916</v>
      </c>
      <c r="H117" s="513">
        <f>+J97*G117+E117</f>
        <v>779035.72196693777</v>
      </c>
      <c r="I117" s="520">
        <f>+J98*G117+E117</f>
        <v>779035.72196693777</v>
      </c>
      <c r="J117" s="516">
        <f t="shared" si="2"/>
        <v>0</v>
      </c>
      <c r="K117" s="516"/>
      <c r="L117" s="521">
        <v>832333.33460804494</v>
      </c>
      <c r="M117" s="516">
        <f t="shared" si="3"/>
        <v>-53297.612641107175</v>
      </c>
      <c r="N117" s="521">
        <v>832333.33460804494</v>
      </c>
      <c r="O117" s="516">
        <f t="shared" si="4"/>
        <v>-53297.612641107175</v>
      </c>
      <c r="P117" s="516">
        <f t="shared" si="5"/>
        <v>0</v>
      </c>
      <c r="Q117" s="479"/>
    </row>
    <row r="118" spans="3:17">
      <c r="C118" s="512">
        <f>IF(D96="","-",+C117+1)</f>
        <v>2025</v>
      </c>
      <c r="D118" s="477">
        <f t="shared" si="6"/>
        <v>4930549.5552631542</v>
      </c>
      <c r="E118" s="519">
        <f t="shared" si="7"/>
        <v>219135.53578947368</v>
      </c>
      <c r="F118" s="519">
        <f t="shared" si="0"/>
        <v>4711414.0194736803</v>
      </c>
      <c r="G118" s="477">
        <f t="shared" si="1"/>
        <v>4820981.7873684168</v>
      </c>
      <c r="H118" s="513">
        <f>+J97*G118+E118</f>
        <v>754692.23561139568</v>
      </c>
      <c r="I118" s="520">
        <f>+J98*G118+E118</f>
        <v>754692.23561139568</v>
      </c>
      <c r="J118" s="516">
        <f t="shared" si="2"/>
        <v>0</v>
      </c>
      <c r="K118" s="516"/>
      <c r="L118" s="521">
        <v>788442.27099835314</v>
      </c>
      <c r="M118" s="516">
        <f t="shared" si="3"/>
        <v>-33750.035386957461</v>
      </c>
      <c r="N118" s="521">
        <v>788442.27099835314</v>
      </c>
      <c r="O118" s="516">
        <f t="shared" si="4"/>
        <v>-33750.035386957461</v>
      </c>
      <c r="P118" s="516">
        <f t="shared" si="5"/>
        <v>0</v>
      </c>
      <c r="Q118" s="479"/>
    </row>
    <row r="119" spans="3:17">
      <c r="C119" s="512">
        <f>IF(D96="","-",+C118+1)</f>
        <v>2026</v>
      </c>
      <c r="D119" s="477">
        <f t="shared" si="6"/>
        <v>4711414.0194736803</v>
      </c>
      <c r="E119" s="519">
        <f t="shared" si="7"/>
        <v>219135.53578947368</v>
      </c>
      <c r="F119" s="519">
        <f t="shared" si="0"/>
        <v>4492278.4836842064</v>
      </c>
      <c r="G119" s="477">
        <f t="shared" si="1"/>
        <v>4601846.2515789438</v>
      </c>
      <c r="H119" s="513">
        <f>+J97*G119+E119</f>
        <v>730348.74925585382</v>
      </c>
      <c r="I119" s="520">
        <f>+J98*G119+E119</f>
        <v>730348.74925585382</v>
      </c>
      <c r="J119" s="516">
        <f t="shared" si="2"/>
        <v>0</v>
      </c>
      <c r="K119" s="516"/>
      <c r="L119" s="521"/>
      <c r="M119" s="516">
        <f t="shared" si="3"/>
        <v>0</v>
      </c>
      <c r="N119" s="521"/>
      <c r="O119" s="516">
        <f t="shared" si="4"/>
        <v>0</v>
      </c>
      <c r="P119" s="516">
        <f t="shared" si="5"/>
        <v>0</v>
      </c>
      <c r="Q119" s="479"/>
    </row>
    <row r="120" spans="3:17">
      <c r="C120" s="512">
        <f>IF(D96="","-",+C119+1)</f>
        <v>2027</v>
      </c>
      <c r="D120" s="477">
        <f t="shared" si="6"/>
        <v>4492278.4836842064</v>
      </c>
      <c r="E120" s="519">
        <f t="shared" si="7"/>
        <v>219135.53578947368</v>
      </c>
      <c r="F120" s="519">
        <f t="shared" si="0"/>
        <v>4273142.9478947325</v>
      </c>
      <c r="G120" s="477">
        <f t="shared" si="1"/>
        <v>4382710.715789469</v>
      </c>
      <c r="H120" s="513">
        <f>+J97*G120+E120</f>
        <v>706005.26290031173</v>
      </c>
      <c r="I120" s="520">
        <f>+J98*G120+E120</f>
        <v>706005.26290031173</v>
      </c>
      <c r="J120" s="516">
        <f t="shared" si="2"/>
        <v>0</v>
      </c>
      <c r="K120" s="516"/>
      <c r="L120" s="521"/>
      <c r="M120" s="516">
        <f t="shared" si="3"/>
        <v>0</v>
      </c>
      <c r="N120" s="521"/>
      <c r="O120" s="516">
        <f t="shared" si="4"/>
        <v>0</v>
      </c>
      <c r="P120" s="516">
        <f t="shared" si="5"/>
        <v>0</v>
      </c>
      <c r="Q120" s="479"/>
    </row>
    <row r="121" spans="3:17">
      <c r="C121" s="512">
        <f>IF(D96="","-",+C120+1)</f>
        <v>2028</v>
      </c>
      <c r="D121" s="477">
        <f t="shared" si="6"/>
        <v>4273142.9478947325</v>
      </c>
      <c r="E121" s="519">
        <f t="shared" si="7"/>
        <v>219135.53578947368</v>
      </c>
      <c r="F121" s="519">
        <f t="shared" si="0"/>
        <v>4054007.4121052586</v>
      </c>
      <c r="G121" s="477">
        <f t="shared" si="1"/>
        <v>4163575.1799999955</v>
      </c>
      <c r="H121" s="513">
        <f>+J97*G121+E121</f>
        <v>681661.77654476988</v>
      </c>
      <c r="I121" s="520">
        <f>+J98*G121+E121</f>
        <v>681661.77654476988</v>
      </c>
      <c r="J121" s="516">
        <f t="shared" si="2"/>
        <v>0</v>
      </c>
      <c r="K121" s="516"/>
      <c r="L121" s="521"/>
      <c r="M121" s="516">
        <f t="shared" si="3"/>
        <v>0</v>
      </c>
      <c r="N121" s="521"/>
      <c r="O121" s="516">
        <f t="shared" si="4"/>
        <v>0</v>
      </c>
      <c r="P121" s="516">
        <f t="shared" si="5"/>
        <v>0</v>
      </c>
      <c r="Q121" s="479"/>
    </row>
    <row r="122" spans="3:17">
      <c r="C122" s="512">
        <f>IF(D96="","-",+C121+1)</f>
        <v>2029</v>
      </c>
      <c r="D122" s="477">
        <f t="shared" si="6"/>
        <v>4054007.4121052586</v>
      </c>
      <c r="E122" s="519">
        <f t="shared" si="7"/>
        <v>219135.53578947368</v>
      </c>
      <c r="F122" s="519">
        <f t="shared" si="0"/>
        <v>3834871.8763157846</v>
      </c>
      <c r="G122" s="477">
        <f t="shared" si="1"/>
        <v>3944439.6442105216</v>
      </c>
      <c r="H122" s="513">
        <f>+J97*G122+E122</f>
        <v>657318.2901892279</v>
      </c>
      <c r="I122" s="520">
        <f>+J98*G122+E122</f>
        <v>657318.2901892279</v>
      </c>
      <c r="J122" s="516">
        <f t="shared" si="2"/>
        <v>0</v>
      </c>
      <c r="K122" s="516"/>
      <c r="L122" s="521"/>
      <c r="M122" s="516">
        <f t="shared" si="3"/>
        <v>0</v>
      </c>
      <c r="N122" s="521"/>
      <c r="O122" s="516">
        <f t="shared" si="4"/>
        <v>0</v>
      </c>
      <c r="P122" s="516">
        <f t="shared" si="5"/>
        <v>0</v>
      </c>
      <c r="Q122" s="479"/>
    </row>
    <row r="123" spans="3:17">
      <c r="C123" s="512">
        <f>IF(D96="","-",+C122+1)</f>
        <v>2030</v>
      </c>
      <c r="D123" s="477">
        <f t="shared" si="6"/>
        <v>3834871.8763157846</v>
      </c>
      <c r="E123" s="519">
        <f t="shared" si="7"/>
        <v>219135.53578947368</v>
      </c>
      <c r="F123" s="519">
        <f t="shared" si="0"/>
        <v>3615736.3405263107</v>
      </c>
      <c r="G123" s="477">
        <f t="shared" si="1"/>
        <v>3725304.1084210477</v>
      </c>
      <c r="H123" s="513">
        <f>+J97*G123+E123</f>
        <v>632974.80383368593</v>
      </c>
      <c r="I123" s="520">
        <f>+J98*G123+E123</f>
        <v>632974.80383368593</v>
      </c>
      <c r="J123" s="516">
        <f t="shared" si="2"/>
        <v>0</v>
      </c>
      <c r="K123" s="516"/>
      <c r="L123" s="521"/>
      <c r="M123" s="516">
        <f t="shared" si="3"/>
        <v>0</v>
      </c>
      <c r="N123" s="521"/>
      <c r="O123" s="516">
        <f t="shared" si="4"/>
        <v>0</v>
      </c>
      <c r="P123" s="516">
        <f t="shared" si="5"/>
        <v>0</v>
      </c>
      <c r="Q123" s="479"/>
    </row>
    <row r="124" spans="3:17">
      <c r="C124" s="512">
        <f>IF(D96="","-",+C123+1)</f>
        <v>2031</v>
      </c>
      <c r="D124" s="477">
        <f t="shared" si="6"/>
        <v>3615736.3405263107</v>
      </c>
      <c r="E124" s="519">
        <f t="shared" si="7"/>
        <v>219135.53578947368</v>
      </c>
      <c r="F124" s="519">
        <f t="shared" si="0"/>
        <v>3396600.8047368368</v>
      </c>
      <c r="G124" s="477">
        <f t="shared" si="1"/>
        <v>3506168.5726315738</v>
      </c>
      <c r="H124" s="513">
        <f>+J97*G124+E124</f>
        <v>608631.31747814408</v>
      </c>
      <c r="I124" s="520">
        <f>+J98*G124+E124</f>
        <v>608631.31747814408</v>
      </c>
      <c r="J124" s="516">
        <f t="shared" si="2"/>
        <v>0</v>
      </c>
      <c r="K124" s="516"/>
      <c r="L124" s="521"/>
      <c r="M124" s="516">
        <f t="shared" si="3"/>
        <v>0</v>
      </c>
      <c r="N124" s="521"/>
      <c r="O124" s="516">
        <f t="shared" si="4"/>
        <v>0</v>
      </c>
      <c r="P124" s="516">
        <f t="shared" si="5"/>
        <v>0</v>
      </c>
      <c r="Q124" s="479"/>
    </row>
    <row r="125" spans="3:17">
      <c r="C125" s="512">
        <f>IF(D96="","-",+C124+1)</f>
        <v>2032</v>
      </c>
      <c r="D125" s="477">
        <f t="shared" si="6"/>
        <v>3396600.8047368368</v>
      </c>
      <c r="E125" s="519">
        <f t="shared" si="7"/>
        <v>219135.53578947368</v>
      </c>
      <c r="F125" s="519">
        <f t="shared" si="0"/>
        <v>3177465.2689473629</v>
      </c>
      <c r="G125" s="477">
        <f t="shared" si="1"/>
        <v>3287033.0368420999</v>
      </c>
      <c r="H125" s="513">
        <f>+J97*G125+E125</f>
        <v>584287.8311226021</v>
      </c>
      <c r="I125" s="520">
        <f>+J98*G125+E125</f>
        <v>584287.8311226021</v>
      </c>
      <c r="J125" s="516">
        <f t="shared" si="2"/>
        <v>0</v>
      </c>
      <c r="K125" s="516"/>
      <c r="L125" s="521"/>
      <c r="M125" s="516">
        <f t="shared" si="3"/>
        <v>0</v>
      </c>
      <c r="N125" s="521"/>
      <c r="O125" s="516">
        <f t="shared" si="4"/>
        <v>0</v>
      </c>
      <c r="P125" s="516">
        <f t="shared" si="5"/>
        <v>0</v>
      </c>
      <c r="Q125" s="479"/>
    </row>
    <row r="126" spans="3:17">
      <c r="C126" s="512">
        <f>IF(D96="","-",+C125+1)</f>
        <v>2033</v>
      </c>
      <c r="D126" s="477">
        <f t="shared" si="6"/>
        <v>3177465.2689473629</v>
      </c>
      <c r="E126" s="519">
        <f t="shared" si="7"/>
        <v>219135.53578947368</v>
      </c>
      <c r="F126" s="519">
        <f t="shared" si="0"/>
        <v>2958329.733157889</v>
      </c>
      <c r="G126" s="477">
        <f t="shared" si="1"/>
        <v>3067897.5010526259</v>
      </c>
      <c r="H126" s="513">
        <f>+J97*G126+E126</f>
        <v>559944.34476706013</v>
      </c>
      <c r="I126" s="520">
        <f>+J98*G126+E126</f>
        <v>559944.34476706013</v>
      </c>
      <c r="J126" s="516">
        <f t="shared" si="2"/>
        <v>0</v>
      </c>
      <c r="K126" s="516"/>
      <c r="L126" s="521"/>
      <c r="M126" s="516">
        <f t="shared" si="3"/>
        <v>0</v>
      </c>
      <c r="N126" s="521"/>
      <c r="O126" s="516">
        <f t="shared" si="4"/>
        <v>0</v>
      </c>
      <c r="P126" s="516">
        <f t="shared" si="5"/>
        <v>0</v>
      </c>
      <c r="Q126" s="479"/>
    </row>
    <row r="127" spans="3:17">
      <c r="C127" s="512">
        <f>IF(D96="","-",+C126+1)</f>
        <v>2034</v>
      </c>
      <c r="D127" s="477">
        <f t="shared" si="6"/>
        <v>2958329.733157889</v>
      </c>
      <c r="E127" s="519">
        <f t="shared" si="7"/>
        <v>219135.53578947368</v>
      </c>
      <c r="F127" s="519">
        <f t="shared" si="0"/>
        <v>2739194.1973684151</v>
      </c>
      <c r="G127" s="477">
        <f t="shared" si="1"/>
        <v>2848761.965263152</v>
      </c>
      <c r="H127" s="513">
        <f>+J97*G127+E127</f>
        <v>535600.85841151816</v>
      </c>
      <c r="I127" s="520">
        <f>+J98*G127+E127</f>
        <v>535600.85841151816</v>
      </c>
      <c r="J127" s="516">
        <f t="shared" si="2"/>
        <v>0</v>
      </c>
      <c r="K127" s="516"/>
      <c r="L127" s="521"/>
      <c r="M127" s="516">
        <f t="shared" si="3"/>
        <v>0</v>
      </c>
      <c r="N127" s="521"/>
      <c r="O127" s="516">
        <f t="shared" si="4"/>
        <v>0</v>
      </c>
      <c r="P127" s="516">
        <f t="shared" si="5"/>
        <v>0</v>
      </c>
      <c r="Q127" s="479"/>
    </row>
    <row r="128" spans="3:17">
      <c r="C128" s="512">
        <f>IF(D96="","-",+C127+1)</f>
        <v>2035</v>
      </c>
      <c r="D128" s="477">
        <f t="shared" si="6"/>
        <v>2739194.1973684151</v>
      </c>
      <c r="E128" s="519">
        <f t="shared" si="7"/>
        <v>219135.53578947368</v>
      </c>
      <c r="F128" s="519">
        <f t="shared" si="0"/>
        <v>2520058.6615789412</v>
      </c>
      <c r="G128" s="477">
        <f t="shared" si="1"/>
        <v>2629626.4294736781</v>
      </c>
      <c r="H128" s="513">
        <f>+J97*G128+E128</f>
        <v>511257.37205597619</v>
      </c>
      <c r="I128" s="520">
        <f>+J98*G128+E128</f>
        <v>511257.37205597619</v>
      </c>
      <c r="J128" s="516">
        <f t="shared" si="2"/>
        <v>0</v>
      </c>
      <c r="K128" s="516"/>
      <c r="L128" s="521"/>
      <c r="M128" s="516">
        <f t="shared" si="3"/>
        <v>0</v>
      </c>
      <c r="N128" s="521"/>
      <c r="O128" s="516">
        <f t="shared" si="4"/>
        <v>0</v>
      </c>
      <c r="P128" s="516">
        <f t="shared" si="5"/>
        <v>0</v>
      </c>
      <c r="Q128" s="479"/>
    </row>
    <row r="129" spans="3:17">
      <c r="C129" s="512">
        <f>IF(D96="","-",+C128+1)</f>
        <v>2036</v>
      </c>
      <c r="D129" s="477">
        <f t="shared" si="6"/>
        <v>2520058.6615789412</v>
      </c>
      <c r="E129" s="519">
        <f t="shared" si="7"/>
        <v>219135.53578947368</v>
      </c>
      <c r="F129" s="519">
        <f t="shared" si="0"/>
        <v>2300923.1257894672</v>
      </c>
      <c r="G129" s="477">
        <f t="shared" si="1"/>
        <v>2410490.8936842042</v>
      </c>
      <c r="H129" s="513">
        <f>+J97*G129+E129</f>
        <v>486913.88570043421</v>
      </c>
      <c r="I129" s="520">
        <f>+J98*G129+E129</f>
        <v>486913.88570043421</v>
      </c>
      <c r="J129" s="516">
        <f t="shared" si="2"/>
        <v>0</v>
      </c>
      <c r="K129" s="516"/>
      <c r="L129" s="521"/>
      <c r="M129" s="516">
        <f t="shared" si="3"/>
        <v>0</v>
      </c>
      <c r="N129" s="521"/>
      <c r="O129" s="516">
        <f t="shared" si="4"/>
        <v>0</v>
      </c>
      <c r="P129" s="516">
        <f t="shared" si="5"/>
        <v>0</v>
      </c>
      <c r="Q129" s="479"/>
    </row>
    <row r="130" spans="3:17">
      <c r="C130" s="512">
        <f>IF(D96="","-",+C129+1)</f>
        <v>2037</v>
      </c>
      <c r="D130" s="477">
        <f t="shared" si="6"/>
        <v>2300923.1257894672</v>
      </c>
      <c r="E130" s="519">
        <f t="shared" si="7"/>
        <v>219135.53578947368</v>
      </c>
      <c r="F130" s="519">
        <f t="shared" si="0"/>
        <v>2081787.5899999936</v>
      </c>
      <c r="G130" s="477">
        <f t="shared" si="1"/>
        <v>2191355.3578947303</v>
      </c>
      <c r="H130" s="513">
        <f>+J97*G130+E130</f>
        <v>462570.39934489224</v>
      </c>
      <c r="I130" s="520">
        <f>+J98*G130+E130</f>
        <v>462570.39934489224</v>
      </c>
      <c r="J130" s="516">
        <f t="shared" si="2"/>
        <v>0</v>
      </c>
      <c r="K130" s="516"/>
      <c r="L130" s="521"/>
      <c r="M130" s="516">
        <f t="shared" si="3"/>
        <v>0</v>
      </c>
      <c r="N130" s="521"/>
      <c r="O130" s="516">
        <f t="shared" si="4"/>
        <v>0</v>
      </c>
      <c r="P130" s="516">
        <f t="shared" si="5"/>
        <v>0</v>
      </c>
      <c r="Q130" s="479"/>
    </row>
    <row r="131" spans="3:17">
      <c r="C131" s="512">
        <f>IF(D96="","-",+C130+1)</f>
        <v>2038</v>
      </c>
      <c r="D131" s="477">
        <f t="shared" si="6"/>
        <v>2081787.5899999936</v>
      </c>
      <c r="E131" s="519">
        <f t="shared" si="7"/>
        <v>219135.53578947368</v>
      </c>
      <c r="F131" s="519">
        <f t="shared" si="0"/>
        <v>1862652.0542105199</v>
      </c>
      <c r="G131" s="477">
        <f t="shared" si="1"/>
        <v>1972219.8221052568</v>
      </c>
      <c r="H131" s="513">
        <f>+J97*G131+E131</f>
        <v>438226.91298935039</v>
      </c>
      <c r="I131" s="520">
        <f>+J98*G131+E131</f>
        <v>438226.91298935039</v>
      </c>
      <c r="J131" s="516">
        <f t="shared" si="2"/>
        <v>0</v>
      </c>
      <c r="K131" s="516"/>
      <c r="L131" s="521"/>
      <c r="M131" s="516">
        <f t="shared" si="3"/>
        <v>0</v>
      </c>
      <c r="N131" s="521"/>
      <c r="O131" s="516">
        <f t="shared" si="4"/>
        <v>0</v>
      </c>
      <c r="P131" s="516">
        <f t="shared" si="5"/>
        <v>0</v>
      </c>
      <c r="Q131" s="479"/>
    </row>
    <row r="132" spans="3:17">
      <c r="C132" s="512">
        <f>IF(D96="","-",+C131+1)</f>
        <v>2039</v>
      </c>
      <c r="D132" s="477">
        <f t="shared" si="6"/>
        <v>1862652.0542105199</v>
      </c>
      <c r="E132" s="519">
        <f t="shared" si="7"/>
        <v>219135.53578947368</v>
      </c>
      <c r="F132" s="519">
        <f t="shared" si="0"/>
        <v>1643516.5184210462</v>
      </c>
      <c r="G132" s="477">
        <f t="shared" si="1"/>
        <v>1753084.2863157829</v>
      </c>
      <c r="H132" s="513">
        <f>+J97*G132+E132</f>
        <v>413883.42663380841</v>
      </c>
      <c r="I132" s="520">
        <f>+J98*G132+E132</f>
        <v>413883.42663380841</v>
      </c>
      <c r="J132" s="516">
        <f t="shared" si="2"/>
        <v>0</v>
      </c>
      <c r="K132" s="516"/>
      <c r="L132" s="521"/>
      <c r="M132" s="516">
        <f t="shared" si="3"/>
        <v>0</v>
      </c>
      <c r="N132" s="521"/>
      <c r="O132" s="516">
        <f t="shared" si="4"/>
        <v>0</v>
      </c>
      <c r="P132" s="516">
        <f t="shared" si="5"/>
        <v>0</v>
      </c>
      <c r="Q132" s="479"/>
    </row>
    <row r="133" spans="3:17">
      <c r="C133" s="512">
        <f>IF(D96="","-",+C132+1)</f>
        <v>2040</v>
      </c>
      <c r="D133" s="477">
        <f t="shared" si="6"/>
        <v>1643516.5184210462</v>
      </c>
      <c r="E133" s="519">
        <f t="shared" si="7"/>
        <v>219135.53578947368</v>
      </c>
      <c r="F133" s="519">
        <f t="shared" si="0"/>
        <v>1424380.9826315725</v>
      </c>
      <c r="G133" s="477">
        <f t="shared" si="1"/>
        <v>1533948.7505263095</v>
      </c>
      <c r="H133" s="513">
        <f>+J97*G133+E133</f>
        <v>389539.9402782665</v>
      </c>
      <c r="I133" s="520">
        <f>+J98*G133+E133</f>
        <v>389539.9402782665</v>
      </c>
      <c r="J133" s="516">
        <f t="shared" si="2"/>
        <v>0</v>
      </c>
      <c r="K133" s="516"/>
      <c r="L133" s="521"/>
      <c r="M133" s="516">
        <f t="shared" si="3"/>
        <v>0</v>
      </c>
      <c r="N133" s="521"/>
      <c r="O133" s="516">
        <f t="shared" si="4"/>
        <v>0</v>
      </c>
      <c r="P133" s="516">
        <f t="shared" si="5"/>
        <v>0</v>
      </c>
      <c r="Q133" s="479"/>
    </row>
    <row r="134" spans="3:17">
      <c r="C134" s="512">
        <f>IF(D96="","-",+C133+1)</f>
        <v>2041</v>
      </c>
      <c r="D134" s="477">
        <f t="shared" si="6"/>
        <v>1424380.9826315725</v>
      </c>
      <c r="E134" s="519">
        <f t="shared" si="7"/>
        <v>219135.53578947368</v>
      </c>
      <c r="F134" s="519">
        <f t="shared" ref="F134:F161" si="8">+D134-E134</f>
        <v>1205245.4468420988</v>
      </c>
      <c r="G134" s="477">
        <f t="shared" ref="G134:G161" si="9">+(D134+F134)/2</f>
        <v>1314813.2147368356</v>
      </c>
      <c r="H134" s="513">
        <f>+J97*G134+E134</f>
        <v>365196.45392272453</v>
      </c>
      <c r="I134" s="520">
        <f>+J98*G134+E134</f>
        <v>365196.45392272453</v>
      </c>
      <c r="J134" s="516">
        <f t="shared" ref="J134:J161" si="10">+I134-H134</f>
        <v>0</v>
      </c>
      <c r="K134" s="516"/>
      <c r="L134" s="521"/>
      <c r="M134" s="516">
        <f t="shared" ref="M134:M161" si="11">IF(L134&lt;&gt;0,+H134-L134,0)</f>
        <v>0</v>
      </c>
      <c r="N134" s="521"/>
      <c r="O134" s="516">
        <f t="shared" ref="O134:O161" si="12">IF(N134&lt;&gt;0,+I134-N134,0)</f>
        <v>0</v>
      </c>
      <c r="P134" s="516">
        <f t="shared" ref="P134:P161" si="13">+O134-M134</f>
        <v>0</v>
      </c>
      <c r="Q134" s="479"/>
    </row>
    <row r="135" spans="3:17">
      <c r="C135" s="512">
        <f>IF(D96="","-",+C134+1)</f>
        <v>2042</v>
      </c>
      <c r="D135" s="477">
        <f t="shared" ref="D135:D161" si="14">F134</f>
        <v>1205245.4468420988</v>
      </c>
      <c r="E135" s="519">
        <f t="shared" ref="E135:E161" si="15">IF(D135&gt;$J$99,$J$99,D135)</f>
        <v>219135.53578947368</v>
      </c>
      <c r="F135" s="519">
        <f t="shared" si="8"/>
        <v>986109.91105262516</v>
      </c>
      <c r="G135" s="477">
        <f t="shared" si="9"/>
        <v>1095677.6789473621</v>
      </c>
      <c r="H135" s="513">
        <f>+J97*G135+E135</f>
        <v>340852.96756718261</v>
      </c>
      <c r="I135" s="520">
        <f>+J98*G135+E135</f>
        <v>340852.96756718261</v>
      </c>
      <c r="J135" s="516">
        <f t="shared" si="10"/>
        <v>0</v>
      </c>
      <c r="K135" s="516"/>
      <c r="L135" s="521"/>
      <c r="M135" s="516">
        <f t="shared" si="11"/>
        <v>0</v>
      </c>
      <c r="N135" s="521"/>
      <c r="O135" s="516">
        <f t="shared" si="12"/>
        <v>0</v>
      </c>
      <c r="P135" s="516">
        <f t="shared" si="13"/>
        <v>0</v>
      </c>
      <c r="Q135" s="479"/>
    </row>
    <row r="136" spans="3:17">
      <c r="C136" s="512">
        <f>IF(D96="","-",+C135+1)</f>
        <v>2043</v>
      </c>
      <c r="D136" s="477">
        <f t="shared" si="14"/>
        <v>986109.91105262516</v>
      </c>
      <c r="E136" s="519">
        <f t="shared" si="15"/>
        <v>219135.53578947368</v>
      </c>
      <c r="F136" s="519">
        <f t="shared" si="8"/>
        <v>766974.37526315148</v>
      </c>
      <c r="G136" s="477">
        <f t="shared" si="9"/>
        <v>876542.14315788832</v>
      </c>
      <c r="H136" s="513">
        <f>+J97*G136+E136</f>
        <v>316509.4812116407</v>
      </c>
      <c r="I136" s="520">
        <f>+J98*G136+E136</f>
        <v>316509.4812116407</v>
      </c>
      <c r="J136" s="516">
        <f t="shared" si="10"/>
        <v>0</v>
      </c>
      <c r="K136" s="516"/>
      <c r="L136" s="521"/>
      <c r="M136" s="516">
        <f t="shared" si="11"/>
        <v>0</v>
      </c>
      <c r="N136" s="521"/>
      <c r="O136" s="516">
        <f t="shared" si="12"/>
        <v>0</v>
      </c>
      <c r="P136" s="516">
        <f t="shared" si="13"/>
        <v>0</v>
      </c>
      <c r="Q136" s="479"/>
    </row>
    <row r="137" spans="3:17">
      <c r="C137" s="512">
        <f>IF(D96="","-",+C136+1)</f>
        <v>2044</v>
      </c>
      <c r="D137" s="477">
        <f t="shared" si="14"/>
        <v>766974.37526315148</v>
      </c>
      <c r="E137" s="519">
        <f t="shared" si="15"/>
        <v>219135.53578947368</v>
      </c>
      <c r="F137" s="519">
        <f t="shared" si="8"/>
        <v>547838.8394736778</v>
      </c>
      <c r="G137" s="477">
        <f t="shared" si="9"/>
        <v>657406.60736841464</v>
      </c>
      <c r="H137" s="513">
        <f>+J97*G137+E137</f>
        <v>292165.99485609878</v>
      </c>
      <c r="I137" s="520">
        <f>+J98*G137+E137</f>
        <v>292165.99485609878</v>
      </c>
      <c r="J137" s="516">
        <f t="shared" si="10"/>
        <v>0</v>
      </c>
      <c r="K137" s="516"/>
      <c r="L137" s="521"/>
      <c r="M137" s="516">
        <f t="shared" si="11"/>
        <v>0</v>
      </c>
      <c r="N137" s="521"/>
      <c r="O137" s="516">
        <f t="shared" si="12"/>
        <v>0</v>
      </c>
      <c r="P137" s="516">
        <f t="shared" si="13"/>
        <v>0</v>
      </c>
      <c r="Q137" s="479"/>
    </row>
    <row r="138" spans="3:17">
      <c r="C138" s="512">
        <f>IF(D96="","-",+C137+1)</f>
        <v>2045</v>
      </c>
      <c r="D138" s="477">
        <f t="shared" si="14"/>
        <v>547838.8394736778</v>
      </c>
      <c r="E138" s="519">
        <f t="shared" si="15"/>
        <v>219135.53578947368</v>
      </c>
      <c r="F138" s="519">
        <f t="shared" si="8"/>
        <v>328703.30368420412</v>
      </c>
      <c r="G138" s="477">
        <f t="shared" si="9"/>
        <v>438271.07157894096</v>
      </c>
      <c r="H138" s="513">
        <f>+J97*G138+E138</f>
        <v>267822.50850055681</v>
      </c>
      <c r="I138" s="520">
        <f>+J98*G138+E138</f>
        <v>267822.50850055681</v>
      </c>
      <c r="J138" s="516">
        <f t="shared" si="10"/>
        <v>0</v>
      </c>
      <c r="K138" s="516"/>
      <c r="L138" s="521"/>
      <c r="M138" s="516">
        <f t="shared" si="11"/>
        <v>0</v>
      </c>
      <c r="N138" s="521"/>
      <c r="O138" s="516">
        <f t="shared" si="12"/>
        <v>0</v>
      </c>
      <c r="P138" s="516">
        <f t="shared" si="13"/>
        <v>0</v>
      </c>
      <c r="Q138" s="479"/>
    </row>
    <row r="139" spans="3:17">
      <c r="C139" s="512">
        <f>IF(D96="","-",+C138+1)</f>
        <v>2046</v>
      </c>
      <c r="D139" s="477">
        <f t="shared" si="14"/>
        <v>328703.30368420412</v>
      </c>
      <c r="E139" s="519">
        <f t="shared" si="15"/>
        <v>219135.53578947368</v>
      </c>
      <c r="F139" s="519">
        <f t="shared" si="8"/>
        <v>109567.76789473044</v>
      </c>
      <c r="G139" s="477">
        <f t="shared" si="9"/>
        <v>219135.53578946728</v>
      </c>
      <c r="H139" s="513">
        <f>+J97*G139+E139</f>
        <v>243479.0221450149</v>
      </c>
      <c r="I139" s="520">
        <f>+J98*G139+E139</f>
        <v>243479.0221450149</v>
      </c>
      <c r="J139" s="516">
        <f t="shared" si="10"/>
        <v>0</v>
      </c>
      <c r="K139" s="516"/>
      <c r="L139" s="521"/>
      <c r="M139" s="516">
        <f t="shared" si="11"/>
        <v>0</v>
      </c>
      <c r="N139" s="521"/>
      <c r="O139" s="516">
        <f t="shared" si="12"/>
        <v>0</v>
      </c>
      <c r="P139" s="516">
        <f t="shared" si="13"/>
        <v>0</v>
      </c>
      <c r="Q139" s="479"/>
    </row>
    <row r="140" spans="3:17">
      <c r="C140" s="512">
        <f>IF(D96="","-",+C139+1)</f>
        <v>2047</v>
      </c>
      <c r="D140" s="477">
        <f t="shared" si="14"/>
        <v>109567.76789473044</v>
      </c>
      <c r="E140" s="519">
        <f t="shared" si="15"/>
        <v>109567.76789473044</v>
      </c>
      <c r="F140" s="519">
        <f t="shared" si="8"/>
        <v>0</v>
      </c>
      <c r="G140" s="477">
        <f t="shared" si="9"/>
        <v>54783.883947365219</v>
      </c>
      <c r="H140" s="513">
        <f>+J97*G140+E140</f>
        <v>115653.63948361557</v>
      </c>
      <c r="I140" s="520">
        <f>+J98*G140+E140</f>
        <v>115653.63948361557</v>
      </c>
      <c r="J140" s="516">
        <f t="shared" si="10"/>
        <v>0</v>
      </c>
      <c r="K140" s="516"/>
      <c r="L140" s="521"/>
      <c r="M140" s="516">
        <f t="shared" si="11"/>
        <v>0</v>
      </c>
      <c r="N140" s="521"/>
      <c r="O140" s="516">
        <f t="shared" si="12"/>
        <v>0</v>
      </c>
      <c r="P140" s="516">
        <f t="shared" si="13"/>
        <v>0</v>
      </c>
      <c r="Q140" s="479"/>
    </row>
    <row r="141" spans="3:17">
      <c r="C141" s="512">
        <f>IF(D96="","-",+C140+1)</f>
        <v>2048</v>
      </c>
      <c r="D141" s="477">
        <f t="shared" si="14"/>
        <v>0</v>
      </c>
      <c r="E141" s="519">
        <f t="shared" si="15"/>
        <v>0</v>
      </c>
      <c r="F141" s="519">
        <f t="shared" si="8"/>
        <v>0</v>
      </c>
      <c r="G141" s="477">
        <f t="shared" si="9"/>
        <v>0</v>
      </c>
      <c r="H141" s="513">
        <f>+J97*G141+E141</f>
        <v>0</v>
      </c>
      <c r="I141" s="520">
        <f>+J98*G141+E141</f>
        <v>0</v>
      </c>
      <c r="J141" s="516">
        <f t="shared" si="10"/>
        <v>0</v>
      </c>
      <c r="K141" s="516"/>
      <c r="L141" s="521"/>
      <c r="M141" s="516">
        <f t="shared" si="11"/>
        <v>0</v>
      </c>
      <c r="N141" s="521"/>
      <c r="O141" s="516">
        <f t="shared" si="12"/>
        <v>0</v>
      </c>
      <c r="P141" s="516">
        <f t="shared" si="13"/>
        <v>0</v>
      </c>
      <c r="Q141" s="479"/>
    </row>
    <row r="142" spans="3:17">
      <c r="C142" s="512">
        <f>IF(D96="","-",+C141+1)</f>
        <v>2049</v>
      </c>
      <c r="D142" s="477">
        <f t="shared" si="14"/>
        <v>0</v>
      </c>
      <c r="E142" s="519">
        <f t="shared" si="15"/>
        <v>0</v>
      </c>
      <c r="F142" s="519">
        <f t="shared" si="8"/>
        <v>0</v>
      </c>
      <c r="G142" s="477">
        <f t="shared" si="9"/>
        <v>0</v>
      </c>
      <c r="H142" s="513">
        <f>+J97*G142+E142</f>
        <v>0</v>
      </c>
      <c r="I142" s="520">
        <f>+J98*G142+E142</f>
        <v>0</v>
      </c>
      <c r="J142" s="516">
        <f t="shared" si="10"/>
        <v>0</v>
      </c>
      <c r="K142" s="516"/>
      <c r="L142" s="521"/>
      <c r="M142" s="516">
        <f t="shared" si="11"/>
        <v>0</v>
      </c>
      <c r="N142" s="521"/>
      <c r="O142" s="516">
        <f t="shared" si="12"/>
        <v>0</v>
      </c>
      <c r="P142" s="516">
        <f t="shared" si="13"/>
        <v>0</v>
      </c>
      <c r="Q142" s="479"/>
    </row>
    <row r="143" spans="3:17">
      <c r="C143" s="512">
        <f>IF(D96="","-",+C142+1)</f>
        <v>2050</v>
      </c>
      <c r="D143" s="477">
        <f t="shared" si="14"/>
        <v>0</v>
      </c>
      <c r="E143" s="519">
        <f t="shared" si="15"/>
        <v>0</v>
      </c>
      <c r="F143" s="519">
        <f t="shared" si="8"/>
        <v>0</v>
      </c>
      <c r="G143" s="477">
        <f t="shared" si="9"/>
        <v>0</v>
      </c>
      <c r="H143" s="513">
        <f>+J97*G143+E143</f>
        <v>0</v>
      </c>
      <c r="I143" s="520">
        <f>+J98*G143+E143</f>
        <v>0</v>
      </c>
      <c r="J143" s="516">
        <f t="shared" si="10"/>
        <v>0</v>
      </c>
      <c r="K143" s="516"/>
      <c r="L143" s="521"/>
      <c r="M143" s="516">
        <f t="shared" si="11"/>
        <v>0</v>
      </c>
      <c r="N143" s="521"/>
      <c r="O143" s="516">
        <f t="shared" si="12"/>
        <v>0</v>
      </c>
      <c r="P143" s="516">
        <f t="shared" si="13"/>
        <v>0</v>
      </c>
      <c r="Q143" s="479"/>
    </row>
    <row r="144" spans="3:17">
      <c r="C144" s="512">
        <f>IF(D96="","-",+C143+1)</f>
        <v>2051</v>
      </c>
      <c r="D144" s="477">
        <f t="shared" si="14"/>
        <v>0</v>
      </c>
      <c r="E144" s="519">
        <f t="shared" si="15"/>
        <v>0</v>
      </c>
      <c r="F144" s="519">
        <f t="shared" si="8"/>
        <v>0</v>
      </c>
      <c r="G144" s="477">
        <f t="shared" si="9"/>
        <v>0</v>
      </c>
      <c r="H144" s="513">
        <f>+J97*G144+E144</f>
        <v>0</v>
      </c>
      <c r="I144" s="520">
        <f>+J98*G144+E144</f>
        <v>0</v>
      </c>
      <c r="J144" s="516">
        <f t="shared" si="10"/>
        <v>0</v>
      </c>
      <c r="K144" s="516"/>
      <c r="L144" s="521"/>
      <c r="M144" s="516">
        <f t="shared" si="11"/>
        <v>0</v>
      </c>
      <c r="N144" s="521"/>
      <c r="O144" s="516">
        <f t="shared" si="12"/>
        <v>0</v>
      </c>
      <c r="P144" s="516">
        <f t="shared" si="13"/>
        <v>0</v>
      </c>
      <c r="Q144" s="479"/>
    </row>
    <row r="145" spans="3:17">
      <c r="C145" s="512">
        <f>IF(D96="","-",+C144+1)</f>
        <v>2052</v>
      </c>
      <c r="D145" s="477">
        <f t="shared" si="14"/>
        <v>0</v>
      </c>
      <c r="E145" s="519">
        <f t="shared" si="15"/>
        <v>0</v>
      </c>
      <c r="F145" s="519">
        <f t="shared" si="8"/>
        <v>0</v>
      </c>
      <c r="G145" s="477">
        <f t="shared" si="9"/>
        <v>0</v>
      </c>
      <c r="H145" s="513">
        <f>+J97*G145+E145</f>
        <v>0</v>
      </c>
      <c r="I145" s="520">
        <f>+J98*G145+E145</f>
        <v>0</v>
      </c>
      <c r="J145" s="516">
        <f t="shared" si="10"/>
        <v>0</v>
      </c>
      <c r="K145" s="516"/>
      <c r="L145" s="521"/>
      <c r="M145" s="516">
        <f t="shared" si="11"/>
        <v>0</v>
      </c>
      <c r="N145" s="521"/>
      <c r="O145" s="516">
        <f t="shared" si="12"/>
        <v>0</v>
      </c>
      <c r="P145" s="516">
        <f t="shared" si="13"/>
        <v>0</v>
      </c>
      <c r="Q145" s="479"/>
    </row>
    <row r="146" spans="3:17">
      <c r="C146" s="512">
        <f>IF(D96="","-",+C145+1)</f>
        <v>2053</v>
      </c>
      <c r="D146" s="477">
        <f t="shared" si="14"/>
        <v>0</v>
      </c>
      <c r="E146" s="519">
        <f t="shared" si="15"/>
        <v>0</v>
      </c>
      <c r="F146" s="519">
        <f t="shared" si="8"/>
        <v>0</v>
      </c>
      <c r="G146" s="477">
        <f t="shared" si="9"/>
        <v>0</v>
      </c>
      <c r="H146" s="513">
        <f>+J97*G146+E146</f>
        <v>0</v>
      </c>
      <c r="I146" s="520">
        <f>+J98*G146+E146</f>
        <v>0</v>
      </c>
      <c r="J146" s="516">
        <f t="shared" si="10"/>
        <v>0</v>
      </c>
      <c r="K146" s="516"/>
      <c r="L146" s="521"/>
      <c r="M146" s="516">
        <f t="shared" si="11"/>
        <v>0</v>
      </c>
      <c r="N146" s="521"/>
      <c r="O146" s="516">
        <f t="shared" si="12"/>
        <v>0</v>
      </c>
      <c r="P146" s="516">
        <f t="shared" si="13"/>
        <v>0</v>
      </c>
      <c r="Q146" s="479"/>
    </row>
    <row r="147" spans="3:17">
      <c r="C147" s="512">
        <f>IF(D96="","-",+C146+1)</f>
        <v>2054</v>
      </c>
      <c r="D147" s="477">
        <f t="shared" si="14"/>
        <v>0</v>
      </c>
      <c r="E147" s="519">
        <f t="shared" si="15"/>
        <v>0</v>
      </c>
      <c r="F147" s="519">
        <f t="shared" si="8"/>
        <v>0</v>
      </c>
      <c r="G147" s="477">
        <f t="shared" si="9"/>
        <v>0</v>
      </c>
      <c r="H147" s="513">
        <f>+J97*G147+E147</f>
        <v>0</v>
      </c>
      <c r="I147" s="520">
        <f>+J98*G147+E147</f>
        <v>0</v>
      </c>
      <c r="J147" s="516">
        <f t="shared" si="10"/>
        <v>0</v>
      </c>
      <c r="K147" s="516"/>
      <c r="L147" s="521"/>
      <c r="M147" s="516">
        <f t="shared" si="11"/>
        <v>0</v>
      </c>
      <c r="N147" s="521"/>
      <c r="O147" s="516">
        <f t="shared" si="12"/>
        <v>0</v>
      </c>
      <c r="P147" s="516">
        <f t="shared" si="13"/>
        <v>0</v>
      </c>
      <c r="Q147" s="479"/>
    </row>
    <row r="148" spans="3:17">
      <c r="C148" s="512">
        <f>IF(D96="","-",+C147+1)</f>
        <v>2055</v>
      </c>
      <c r="D148" s="477">
        <f t="shared" si="14"/>
        <v>0</v>
      </c>
      <c r="E148" s="519">
        <f t="shared" si="15"/>
        <v>0</v>
      </c>
      <c r="F148" s="519">
        <f t="shared" si="8"/>
        <v>0</v>
      </c>
      <c r="G148" s="477">
        <f t="shared" si="9"/>
        <v>0</v>
      </c>
      <c r="H148" s="513">
        <f>+J97*G148+E148</f>
        <v>0</v>
      </c>
      <c r="I148" s="520">
        <f>+J98*G148+E148</f>
        <v>0</v>
      </c>
      <c r="J148" s="516">
        <f t="shared" si="10"/>
        <v>0</v>
      </c>
      <c r="K148" s="516"/>
      <c r="L148" s="521"/>
      <c r="M148" s="516">
        <f t="shared" si="11"/>
        <v>0</v>
      </c>
      <c r="N148" s="521"/>
      <c r="O148" s="516">
        <f t="shared" si="12"/>
        <v>0</v>
      </c>
      <c r="P148" s="516">
        <f t="shared" si="13"/>
        <v>0</v>
      </c>
      <c r="Q148" s="479"/>
    </row>
    <row r="149" spans="3:17">
      <c r="C149" s="512">
        <f>IF(D96="","-",+C148+1)</f>
        <v>2056</v>
      </c>
      <c r="D149" s="477">
        <f t="shared" si="14"/>
        <v>0</v>
      </c>
      <c r="E149" s="519">
        <f t="shared" si="15"/>
        <v>0</v>
      </c>
      <c r="F149" s="519">
        <f t="shared" si="8"/>
        <v>0</v>
      </c>
      <c r="G149" s="477">
        <f t="shared" si="9"/>
        <v>0</v>
      </c>
      <c r="H149" s="513">
        <f>+J97*G149+E149</f>
        <v>0</v>
      </c>
      <c r="I149" s="520">
        <f>+J98*G149+E149</f>
        <v>0</v>
      </c>
      <c r="J149" s="516">
        <f t="shared" si="10"/>
        <v>0</v>
      </c>
      <c r="K149" s="516"/>
      <c r="L149" s="521"/>
      <c r="M149" s="516">
        <f t="shared" si="11"/>
        <v>0</v>
      </c>
      <c r="N149" s="521"/>
      <c r="O149" s="516">
        <f t="shared" si="12"/>
        <v>0</v>
      </c>
      <c r="P149" s="516">
        <f t="shared" si="13"/>
        <v>0</v>
      </c>
      <c r="Q149" s="479"/>
    </row>
    <row r="150" spans="3:17">
      <c r="C150" s="512">
        <f>IF(D96="","-",+C149+1)</f>
        <v>2057</v>
      </c>
      <c r="D150" s="477">
        <f t="shared" si="14"/>
        <v>0</v>
      </c>
      <c r="E150" s="519">
        <f t="shared" si="15"/>
        <v>0</v>
      </c>
      <c r="F150" s="519">
        <f t="shared" si="8"/>
        <v>0</v>
      </c>
      <c r="G150" s="477">
        <f t="shared" si="9"/>
        <v>0</v>
      </c>
      <c r="H150" s="513">
        <f>+J97*G150+E150</f>
        <v>0</v>
      </c>
      <c r="I150" s="520">
        <f>+J98*G150+E150</f>
        <v>0</v>
      </c>
      <c r="J150" s="516">
        <f t="shared" si="10"/>
        <v>0</v>
      </c>
      <c r="K150" s="516"/>
      <c r="L150" s="521"/>
      <c r="M150" s="516">
        <f t="shared" si="11"/>
        <v>0</v>
      </c>
      <c r="N150" s="521"/>
      <c r="O150" s="516">
        <f t="shared" si="12"/>
        <v>0</v>
      </c>
      <c r="P150" s="516">
        <f t="shared" si="13"/>
        <v>0</v>
      </c>
      <c r="Q150" s="479"/>
    </row>
    <row r="151" spans="3:17">
      <c r="C151" s="512">
        <f>IF(D96="","-",+C150+1)</f>
        <v>2058</v>
      </c>
      <c r="D151" s="477">
        <f t="shared" si="14"/>
        <v>0</v>
      </c>
      <c r="E151" s="519">
        <f t="shared" si="15"/>
        <v>0</v>
      </c>
      <c r="F151" s="519">
        <f t="shared" si="8"/>
        <v>0</v>
      </c>
      <c r="G151" s="477">
        <f t="shared" si="9"/>
        <v>0</v>
      </c>
      <c r="H151" s="513">
        <f>+J97*G151+E151</f>
        <v>0</v>
      </c>
      <c r="I151" s="520">
        <f>+J98*G151+E151</f>
        <v>0</v>
      </c>
      <c r="J151" s="516">
        <f t="shared" si="10"/>
        <v>0</v>
      </c>
      <c r="K151" s="516"/>
      <c r="L151" s="521"/>
      <c r="M151" s="516">
        <f t="shared" si="11"/>
        <v>0</v>
      </c>
      <c r="N151" s="521"/>
      <c r="O151" s="516">
        <f t="shared" si="12"/>
        <v>0</v>
      </c>
      <c r="P151" s="516">
        <f t="shared" si="13"/>
        <v>0</v>
      </c>
      <c r="Q151" s="479"/>
    </row>
    <row r="152" spans="3:17">
      <c r="C152" s="512">
        <f>IF(D96="","-",+C151+1)</f>
        <v>2059</v>
      </c>
      <c r="D152" s="477">
        <f t="shared" si="14"/>
        <v>0</v>
      </c>
      <c r="E152" s="519">
        <f t="shared" si="15"/>
        <v>0</v>
      </c>
      <c r="F152" s="519">
        <f t="shared" si="8"/>
        <v>0</v>
      </c>
      <c r="G152" s="477">
        <f t="shared" si="9"/>
        <v>0</v>
      </c>
      <c r="H152" s="513">
        <f>+J97*G152+E152</f>
        <v>0</v>
      </c>
      <c r="I152" s="520">
        <f>+J98*G152+E152</f>
        <v>0</v>
      </c>
      <c r="J152" s="516">
        <f t="shared" si="10"/>
        <v>0</v>
      </c>
      <c r="K152" s="516"/>
      <c r="L152" s="521"/>
      <c r="M152" s="516">
        <f t="shared" si="11"/>
        <v>0</v>
      </c>
      <c r="N152" s="521"/>
      <c r="O152" s="516">
        <f t="shared" si="12"/>
        <v>0</v>
      </c>
      <c r="P152" s="516">
        <f t="shared" si="13"/>
        <v>0</v>
      </c>
      <c r="Q152" s="479"/>
    </row>
    <row r="153" spans="3:17">
      <c r="C153" s="512">
        <f>IF(D96="","-",+C152+1)</f>
        <v>2060</v>
      </c>
      <c r="D153" s="477">
        <f t="shared" si="14"/>
        <v>0</v>
      </c>
      <c r="E153" s="519">
        <f t="shared" si="15"/>
        <v>0</v>
      </c>
      <c r="F153" s="519">
        <f t="shared" si="8"/>
        <v>0</v>
      </c>
      <c r="G153" s="477">
        <f t="shared" si="9"/>
        <v>0</v>
      </c>
      <c r="H153" s="513">
        <f>+J97*G153+E153</f>
        <v>0</v>
      </c>
      <c r="I153" s="520">
        <f>+J98*G153+E153</f>
        <v>0</v>
      </c>
      <c r="J153" s="516">
        <f t="shared" si="10"/>
        <v>0</v>
      </c>
      <c r="K153" s="516"/>
      <c r="L153" s="521"/>
      <c r="M153" s="516">
        <f t="shared" si="11"/>
        <v>0</v>
      </c>
      <c r="N153" s="521"/>
      <c r="O153" s="516">
        <f t="shared" si="12"/>
        <v>0</v>
      </c>
      <c r="P153" s="516">
        <f t="shared" si="13"/>
        <v>0</v>
      </c>
      <c r="Q153" s="479"/>
    </row>
    <row r="154" spans="3:17">
      <c r="C154" s="512">
        <f>IF(D96="","-",+C153+1)</f>
        <v>2061</v>
      </c>
      <c r="D154" s="477">
        <f t="shared" si="14"/>
        <v>0</v>
      </c>
      <c r="E154" s="519">
        <f t="shared" si="15"/>
        <v>0</v>
      </c>
      <c r="F154" s="519">
        <f t="shared" si="8"/>
        <v>0</v>
      </c>
      <c r="G154" s="477">
        <f t="shared" si="9"/>
        <v>0</v>
      </c>
      <c r="H154" s="513">
        <f>+J97*G154+E154</f>
        <v>0</v>
      </c>
      <c r="I154" s="520">
        <f>+J98*G154+E154</f>
        <v>0</v>
      </c>
      <c r="J154" s="516">
        <f t="shared" si="10"/>
        <v>0</v>
      </c>
      <c r="K154" s="516"/>
      <c r="L154" s="521"/>
      <c r="M154" s="516">
        <f t="shared" si="11"/>
        <v>0</v>
      </c>
      <c r="N154" s="521"/>
      <c r="O154" s="516">
        <f t="shared" si="12"/>
        <v>0</v>
      </c>
      <c r="P154" s="516">
        <f t="shared" si="13"/>
        <v>0</v>
      </c>
      <c r="Q154" s="479"/>
    </row>
    <row r="155" spans="3:17">
      <c r="C155" s="512">
        <f>IF(D96="","-",+C154+1)</f>
        <v>2062</v>
      </c>
      <c r="D155" s="477">
        <f t="shared" si="14"/>
        <v>0</v>
      </c>
      <c r="E155" s="519">
        <f t="shared" si="15"/>
        <v>0</v>
      </c>
      <c r="F155" s="519">
        <f t="shared" si="8"/>
        <v>0</v>
      </c>
      <c r="G155" s="477">
        <f t="shared" si="9"/>
        <v>0</v>
      </c>
      <c r="H155" s="513">
        <f>+J97*G155+E155</f>
        <v>0</v>
      </c>
      <c r="I155" s="520">
        <f>+J98*G155+E155</f>
        <v>0</v>
      </c>
      <c r="J155" s="516">
        <f t="shared" si="10"/>
        <v>0</v>
      </c>
      <c r="K155" s="516"/>
      <c r="L155" s="521"/>
      <c r="M155" s="516">
        <f t="shared" si="11"/>
        <v>0</v>
      </c>
      <c r="N155" s="521"/>
      <c r="O155" s="516">
        <f t="shared" si="12"/>
        <v>0</v>
      </c>
      <c r="P155" s="516">
        <f t="shared" si="13"/>
        <v>0</v>
      </c>
      <c r="Q155" s="479"/>
    </row>
    <row r="156" spans="3:17">
      <c r="C156" s="512">
        <f>IF(D96="","-",+C155+1)</f>
        <v>2063</v>
      </c>
      <c r="D156" s="477">
        <f t="shared" si="14"/>
        <v>0</v>
      </c>
      <c r="E156" s="519">
        <f t="shared" si="15"/>
        <v>0</v>
      </c>
      <c r="F156" s="519">
        <f t="shared" si="8"/>
        <v>0</v>
      </c>
      <c r="G156" s="477">
        <f t="shared" si="9"/>
        <v>0</v>
      </c>
      <c r="H156" s="513">
        <f>+J97*G156+E156</f>
        <v>0</v>
      </c>
      <c r="I156" s="520">
        <f>+J98*G156+E156</f>
        <v>0</v>
      </c>
      <c r="J156" s="516">
        <f t="shared" si="10"/>
        <v>0</v>
      </c>
      <c r="K156" s="516"/>
      <c r="L156" s="521"/>
      <c r="M156" s="516">
        <f t="shared" si="11"/>
        <v>0</v>
      </c>
      <c r="N156" s="521"/>
      <c r="O156" s="516">
        <f t="shared" si="12"/>
        <v>0</v>
      </c>
      <c r="P156" s="516">
        <f t="shared" si="13"/>
        <v>0</v>
      </c>
      <c r="Q156" s="479"/>
    </row>
    <row r="157" spans="3:17">
      <c r="C157" s="512">
        <f>IF(D96="","-",+C156+1)</f>
        <v>2064</v>
      </c>
      <c r="D157" s="477">
        <f t="shared" si="14"/>
        <v>0</v>
      </c>
      <c r="E157" s="519">
        <f t="shared" si="15"/>
        <v>0</v>
      </c>
      <c r="F157" s="519">
        <f t="shared" si="8"/>
        <v>0</v>
      </c>
      <c r="G157" s="477">
        <f t="shared" si="9"/>
        <v>0</v>
      </c>
      <c r="H157" s="513">
        <f>+J97*G157+E157</f>
        <v>0</v>
      </c>
      <c r="I157" s="520">
        <f>+J98*G157+E157</f>
        <v>0</v>
      </c>
      <c r="J157" s="516">
        <f t="shared" si="10"/>
        <v>0</v>
      </c>
      <c r="K157" s="516"/>
      <c r="L157" s="521"/>
      <c r="M157" s="516">
        <f t="shared" si="11"/>
        <v>0</v>
      </c>
      <c r="N157" s="521"/>
      <c r="O157" s="516">
        <f t="shared" si="12"/>
        <v>0</v>
      </c>
      <c r="P157" s="516">
        <f t="shared" si="13"/>
        <v>0</v>
      </c>
      <c r="Q157" s="479"/>
    </row>
    <row r="158" spans="3:17">
      <c r="C158" s="512">
        <f>IF(D96="","-",+C157+1)</f>
        <v>2065</v>
      </c>
      <c r="D158" s="477">
        <f t="shared" si="14"/>
        <v>0</v>
      </c>
      <c r="E158" s="519">
        <f t="shared" si="15"/>
        <v>0</v>
      </c>
      <c r="F158" s="519">
        <f t="shared" si="8"/>
        <v>0</v>
      </c>
      <c r="G158" s="477">
        <f t="shared" si="9"/>
        <v>0</v>
      </c>
      <c r="H158" s="513">
        <f>+J97*G158+E158</f>
        <v>0</v>
      </c>
      <c r="I158" s="520">
        <f>+J98*G158+E158</f>
        <v>0</v>
      </c>
      <c r="J158" s="516">
        <f t="shared" si="10"/>
        <v>0</v>
      </c>
      <c r="K158" s="516"/>
      <c r="L158" s="521"/>
      <c r="M158" s="516">
        <f t="shared" si="11"/>
        <v>0</v>
      </c>
      <c r="N158" s="521"/>
      <c r="O158" s="516">
        <f t="shared" si="12"/>
        <v>0</v>
      </c>
      <c r="P158" s="516">
        <f t="shared" si="13"/>
        <v>0</v>
      </c>
      <c r="Q158" s="479"/>
    </row>
    <row r="159" spans="3:17">
      <c r="C159" s="512">
        <f>IF(D96="","-",+C158+1)</f>
        <v>2066</v>
      </c>
      <c r="D159" s="477">
        <f t="shared" si="14"/>
        <v>0</v>
      </c>
      <c r="E159" s="519">
        <f t="shared" si="15"/>
        <v>0</v>
      </c>
      <c r="F159" s="519">
        <f t="shared" si="8"/>
        <v>0</v>
      </c>
      <c r="G159" s="477">
        <f t="shared" si="9"/>
        <v>0</v>
      </c>
      <c r="H159" s="513">
        <f>+J97*G159+E159</f>
        <v>0</v>
      </c>
      <c r="I159" s="520">
        <f>+J98*G159+E159</f>
        <v>0</v>
      </c>
      <c r="J159" s="516">
        <f t="shared" si="10"/>
        <v>0</v>
      </c>
      <c r="K159" s="516"/>
      <c r="L159" s="521"/>
      <c r="M159" s="516">
        <f t="shared" si="11"/>
        <v>0</v>
      </c>
      <c r="N159" s="521"/>
      <c r="O159" s="516">
        <f t="shared" si="12"/>
        <v>0</v>
      </c>
      <c r="P159" s="516">
        <f t="shared" si="13"/>
        <v>0</v>
      </c>
      <c r="Q159" s="479"/>
    </row>
    <row r="160" spans="3:17">
      <c r="C160" s="512">
        <f>IF(D96="","-",+C159+1)</f>
        <v>2067</v>
      </c>
      <c r="D160" s="477">
        <f t="shared" si="14"/>
        <v>0</v>
      </c>
      <c r="E160" s="519">
        <f t="shared" si="15"/>
        <v>0</v>
      </c>
      <c r="F160" s="519">
        <f t="shared" si="8"/>
        <v>0</v>
      </c>
      <c r="G160" s="477">
        <f t="shared" si="9"/>
        <v>0</v>
      </c>
      <c r="H160" s="513">
        <f>+J97*G160+E160</f>
        <v>0</v>
      </c>
      <c r="I160" s="520">
        <f>+J98*G160+E160</f>
        <v>0</v>
      </c>
      <c r="J160" s="516">
        <f t="shared" si="10"/>
        <v>0</v>
      </c>
      <c r="K160" s="516"/>
      <c r="L160" s="521"/>
      <c r="M160" s="516">
        <f t="shared" si="11"/>
        <v>0</v>
      </c>
      <c r="N160" s="521"/>
      <c r="O160" s="516">
        <f t="shared" si="12"/>
        <v>0</v>
      </c>
      <c r="P160" s="516">
        <f t="shared" si="13"/>
        <v>0</v>
      </c>
      <c r="Q160" s="479"/>
    </row>
    <row r="161" spans="1:17" ht="13.5" thickBot="1">
      <c r="C161" s="523">
        <f>IF(D96="","-",+C160+1)</f>
        <v>2068</v>
      </c>
      <c r="D161" s="524">
        <f t="shared" si="14"/>
        <v>0</v>
      </c>
      <c r="E161" s="525">
        <f t="shared" si="15"/>
        <v>0</v>
      </c>
      <c r="F161" s="525">
        <f t="shared" si="8"/>
        <v>0</v>
      </c>
      <c r="G161" s="524">
        <f t="shared" si="9"/>
        <v>0</v>
      </c>
      <c r="H161" s="526">
        <f>+J97*G161+E161</f>
        <v>0</v>
      </c>
      <c r="I161" s="526">
        <f>+J98*G161+E161</f>
        <v>0</v>
      </c>
      <c r="J161" s="527">
        <f t="shared" si="10"/>
        <v>0</v>
      </c>
      <c r="K161" s="516"/>
      <c r="L161" s="528"/>
      <c r="M161" s="527">
        <f t="shared" si="11"/>
        <v>0</v>
      </c>
      <c r="N161" s="528"/>
      <c r="O161" s="527">
        <f t="shared" si="12"/>
        <v>0</v>
      </c>
      <c r="P161" s="527">
        <f t="shared" si="13"/>
        <v>0</v>
      </c>
      <c r="Q161" s="479"/>
    </row>
    <row r="162" spans="1:17">
      <c r="C162" s="477" t="s">
        <v>289</v>
      </c>
      <c r="D162" s="475"/>
      <c r="E162" s="475">
        <f>SUM(E102:E161)</f>
        <v>8327150.3599999994</v>
      </c>
      <c r="F162" s="475"/>
      <c r="G162" s="475"/>
      <c r="H162" s="475">
        <f>SUM(H102:H161)</f>
        <v>26365673.749456555</v>
      </c>
      <c r="I162" s="475">
        <f>SUM(I102:I161)</f>
        <v>26365673.749456555</v>
      </c>
      <c r="J162" s="475">
        <f>SUM(J102:J161)</f>
        <v>0</v>
      </c>
      <c r="K162" s="475"/>
      <c r="L162" s="475"/>
      <c r="M162" s="475"/>
      <c r="N162" s="475"/>
      <c r="O162" s="475"/>
      <c r="Q162" s="475"/>
    </row>
    <row r="163" spans="1:17">
      <c r="D163" s="82"/>
      <c r="E163" s="4"/>
      <c r="F163" s="4"/>
      <c r="G163" s="4"/>
      <c r="H163" s="4"/>
      <c r="I163" s="460"/>
      <c r="J163" s="460"/>
      <c r="K163" s="475"/>
      <c r="L163" s="460"/>
      <c r="M163" s="460"/>
      <c r="N163" s="460"/>
      <c r="O163" s="460"/>
      <c r="Q163" s="475"/>
    </row>
    <row r="164" spans="1:17">
      <c r="C164" s="4" t="s">
        <v>596</v>
      </c>
      <c r="D164" s="82"/>
      <c r="E164" s="4"/>
      <c r="F164" s="4"/>
      <c r="G164" s="4"/>
      <c r="H164" s="4"/>
      <c r="I164" s="460"/>
      <c r="J164" s="460"/>
      <c r="K164" s="475"/>
      <c r="L164" s="460"/>
      <c r="M164" s="460"/>
      <c r="N164" s="460"/>
      <c r="O164" s="460"/>
      <c r="Q164" s="475"/>
    </row>
    <row r="165" spans="1:17">
      <c r="D165" s="82"/>
      <c r="E165" s="4"/>
      <c r="F165" s="4"/>
      <c r="G165" s="4"/>
      <c r="H165" s="4"/>
      <c r="I165" s="460"/>
      <c r="J165" s="460"/>
      <c r="K165" s="475"/>
      <c r="L165" s="460"/>
      <c r="M165" s="460"/>
      <c r="N165" s="460"/>
      <c r="O165" s="460"/>
      <c r="Q165" s="475"/>
    </row>
    <row r="166" spans="1:17">
      <c r="C166" s="4" t="s">
        <v>597</v>
      </c>
      <c r="D166" s="477"/>
      <c r="E166" s="477"/>
      <c r="F166" s="477"/>
      <c r="G166" s="477"/>
      <c r="H166" s="475"/>
      <c r="I166" s="475"/>
      <c r="J166" s="479"/>
      <c r="K166" s="479"/>
      <c r="L166" s="479"/>
      <c r="M166" s="479"/>
      <c r="N166" s="479"/>
      <c r="O166" s="479"/>
      <c r="Q166" s="479"/>
    </row>
    <row r="167" spans="1:17">
      <c r="C167" s="4" t="s">
        <v>477</v>
      </c>
      <c r="D167" s="477"/>
      <c r="E167" s="477"/>
      <c r="F167" s="477"/>
      <c r="G167" s="477"/>
      <c r="H167" s="475"/>
      <c r="I167" s="475"/>
      <c r="J167" s="479"/>
      <c r="K167" s="479"/>
      <c r="L167" s="479"/>
      <c r="M167" s="479"/>
      <c r="N167" s="479"/>
      <c r="O167" s="479"/>
      <c r="Q167" s="479"/>
    </row>
    <row r="168" spans="1:17">
      <c r="C168" s="4" t="s">
        <v>290</v>
      </c>
      <c r="D168" s="477"/>
      <c r="E168" s="477"/>
      <c r="F168" s="477"/>
      <c r="G168" s="477"/>
      <c r="H168" s="475"/>
      <c r="I168" s="475"/>
      <c r="J168" s="479"/>
      <c r="K168" s="479"/>
      <c r="L168" s="479"/>
      <c r="M168" s="479"/>
      <c r="N168" s="479"/>
      <c r="O168" s="479"/>
      <c r="Q168" s="479"/>
    </row>
    <row r="169" spans="1:17">
      <c r="C169" s="478"/>
      <c r="D169" s="477"/>
      <c r="E169" s="477"/>
      <c r="F169" s="477"/>
      <c r="G169" s="477"/>
      <c r="H169" s="475"/>
      <c r="I169" s="475"/>
      <c r="J169" s="479"/>
      <c r="K169" s="479"/>
      <c r="L169" s="479"/>
      <c r="M169" s="479"/>
      <c r="N169" s="479"/>
      <c r="O169" s="479"/>
      <c r="Q169" s="479"/>
    </row>
    <row r="170" spans="1:17" ht="20.25">
      <c r="A170" s="419" t="s">
        <v>763</v>
      </c>
      <c r="B170" s="4"/>
      <c r="C170" s="4"/>
      <c r="D170" s="82"/>
      <c r="E170" s="4"/>
      <c r="F170" s="84"/>
      <c r="G170" s="84"/>
      <c r="H170" s="4"/>
      <c r="I170" s="460"/>
      <c r="L170" s="11"/>
      <c r="M170" s="11"/>
      <c r="N170" s="11"/>
      <c r="O170" s="11" t="str">
        <f>"Page "&amp;SUM(Q$3:Q170)&amp;" of "</f>
        <v xml:space="preserve">Page 5 of </v>
      </c>
      <c r="P170" s="420">
        <f>COUNT(Q$8:Q$58123)</f>
        <v>15</v>
      </c>
      <c r="Q170" s="547">
        <v>1</v>
      </c>
    </row>
    <row r="171" spans="1:17">
      <c r="B171" s="4"/>
      <c r="C171" s="4"/>
      <c r="D171" s="82"/>
      <c r="E171" s="4"/>
      <c r="F171" s="4"/>
      <c r="G171" s="4"/>
      <c r="H171" s="4"/>
      <c r="I171" s="460"/>
      <c r="J171" s="4"/>
      <c r="K171" s="4"/>
    </row>
    <row r="172" spans="1:17" ht="18">
      <c r="B172" s="421" t="s">
        <v>175</v>
      </c>
      <c r="C172" s="480" t="s">
        <v>291</v>
      </c>
      <c r="D172" s="82"/>
      <c r="E172" s="4"/>
      <c r="F172" s="4"/>
      <c r="G172" s="4"/>
      <c r="H172" s="4"/>
      <c r="I172" s="460"/>
      <c r="J172" s="460"/>
      <c r="K172" s="475"/>
      <c r="L172" s="460"/>
      <c r="M172" s="460"/>
      <c r="N172" s="460"/>
      <c r="O172" s="460"/>
      <c r="Q172" s="475"/>
    </row>
    <row r="173" spans="1:17" ht="18.75">
      <c r="B173" s="421"/>
      <c r="C173" s="13"/>
      <c r="D173" s="82"/>
      <c r="E173" s="4"/>
      <c r="F173" s="4"/>
      <c r="G173" s="4"/>
      <c r="H173" s="4"/>
      <c r="I173" s="460"/>
      <c r="J173" s="460"/>
      <c r="K173" s="475"/>
      <c r="L173" s="460"/>
      <c r="M173" s="460"/>
      <c r="N173" s="460"/>
      <c r="O173" s="460"/>
      <c r="Q173" s="475"/>
    </row>
    <row r="174" spans="1:17" ht="18.75">
      <c r="B174" s="421"/>
      <c r="C174" s="13" t="s">
        <v>292</v>
      </c>
      <c r="D174" s="82"/>
      <c r="E174" s="4"/>
      <c r="F174" s="4"/>
      <c r="G174" s="4"/>
      <c r="H174" s="4"/>
      <c r="I174" s="460"/>
      <c r="J174" s="460"/>
      <c r="K174" s="475"/>
      <c r="L174" s="460"/>
      <c r="M174" s="460"/>
      <c r="N174" s="460"/>
      <c r="O174" s="460"/>
      <c r="Q174" s="475"/>
    </row>
    <row r="175" spans="1:17" ht="15.75" thickBot="1">
      <c r="C175" s="254"/>
      <c r="D175" s="82"/>
      <c r="E175" s="4"/>
      <c r="F175" s="4"/>
      <c r="G175" s="4"/>
      <c r="H175" s="4"/>
      <c r="I175" s="460"/>
      <c r="J175" s="460"/>
      <c r="K175" s="475"/>
      <c r="L175" s="460"/>
      <c r="M175" s="460"/>
      <c r="N175" s="460"/>
      <c r="O175" s="460"/>
      <c r="Q175" s="475"/>
    </row>
    <row r="176" spans="1:17" ht="15.75">
      <c r="C176" s="422" t="s">
        <v>293</v>
      </c>
      <c r="D176" s="82"/>
      <c r="E176" s="4"/>
      <c r="F176" s="4"/>
      <c r="G176" s="4"/>
      <c r="H176" s="645"/>
      <c r="I176" s="4" t="s">
        <v>272</v>
      </c>
      <c r="J176" s="4"/>
      <c r="K176" s="4"/>
      <c r="L176" s="548">
        <f>+J182</f>
        <v>2025</v>
      </c>
      <c r="M176" s="532" t="s">
        <v>255</v>
      </c>
      <c r="N176" s="532" t="s">
        <v>256</v>
      </c>
      <c r="O176" s="533" t="s">
        <v>257</v>
      </c>
    </row>
    <row r="177" spans="1:17" ht="15.75">
      <c r="C177" s="422"/>
      <c r="D177" s="82"/>
      <c r="E177" s="4"/>
      <c r="F177" s="4"/>
      <c r="H177" s="4"/>
      <c r="I177" s="484"/>
      <c r="J177" s="484"/>
      <c r="K177" s="485"/>
      <c r="L177" s="549" t="s">
        <v>456</v>
      </c>
      <c r="M177" s="550">
        <f>VLOOKUP(J182,C189:P248,10)</f>
        <v>62766.664861153491</v>
      </c>
      <c r="N177" s="550">
        <f>VLOOKUP(J182,C189:P248,12)</f>
        <v>62766.664861153491</v>
      </c>
      <c r="O177" s="551">
        <f>+N177-M177</f>
        <v>0</v>
      </c>
      <c r="Q177" s="485"/>
    </row>
    <row r="178" spans="1:17">
      <c r="C178" s="487" t="s">
        <v>294</v>
      </c>
      <c r="D178" s="1270" t="s">
        <v>933</v>
      </c>
      <c r="E178" s="1271"/>
      <c r="F178" s="1271"/>
      <c r="G178" s="1271"/>
      <c r="H178" s="1271"/>
      <c r="I178" s="1271"/>
      <c r="J178" s="460"/>
      <c r="K178" s="475"/>
      <c r="L178" s="549" t="s">
        <v>457</v>
      </c>
      <c r="M178" s="552">
        <f>VLOOKUP(J182,C189:P248,6)</f>
        <v>59959.860237485438</v>
      </c>
      <c r="N178" s="552">
        <f>VLOOKUP(J182,C189:P248,7)</f>
        <v>59959.860237485438</v>
      </c>
      <c r="O178" s="553">
        <f>+N178-M178</f>
        <v>0</v>
      </c>
      <c r="Q178" s="475"/>
    </row>
    <row r="179" spans="1:17" ht="13.5" thickBot="1">
      <c r="C179" s="489"/>
      <c r="D179" s="1271"/>
      <c r="E179" s="1271"/>
      <c r="F179" s="1271"/>
      <c r="G179" s="1271"/>
      <c r="H179" s="1271"/>
      <c r="I179" s="1271"/>
      <c r="J179" s="460"/>
      <c r="K179" s="475"/>
      <c r="L179" s="499" t="s">
        <v>458</v>
      </c>
      <c r="M179" s="554">
        <f>+M178-M177</f>
        <v>-2806.804623668053</v>
      </c>
      <c r="N179" s="554">
        <f>+N178-N177</f>
        <v>-2806.804623668053</v>
      </c>
      <c r="O179" s="555">
        <f>+O178-O177</f>
        <v>0</v>
      </c>
      <c r="Q179" s="475"/>
    </row>
    <row r="180" spans="1:17" ht="13.5" thickBot="1">
      <c r="C180" s="489"/>
      <c r="D180" s="4"/>
      <c r="E180" s="490"/>
      <c r="F180" s="490"/>
      <c r="G180" s="490"/>
      <c r="H180" s="490"/>
      <c r="I180" s="490"/>
      <c r="J180" s="490"/>
      <c r="K180" s="490"/>
      <c r="L180" s="490"/>
      <c r="M180" s="490"/>
      <c r="N180" s="490"/>
      <c r="O180" s="490"/>
      <c r="Q180" s="490"/>
    </row>
    <row r="181" spans="1:17" ht="13.5" thickBot="1">
      <c r="C181" s="491" t="s">
        <v>295</v>
      </c>
      <c r="D181" s="492"/>
      <c r="E181" s="492"/>
      <c r="F181" s="492"/>
      <c r="G181" s="492"/>
      <c r="H181" s="492"/>
      <c r="I181" s="492"/>
      <c r="J181" s="492"/>
      <c r="Q181"/>
    </row>
    <row r="182" spans="1:17" ht="15">
      <c r="A182" s="978"/>
      <c r="C182" s="494" t="s">
        <v>273</v>
      </c>
      <c r="D182" s="646">
        <v>585981.21</v>
      </c>
      <c r="E182" s="4" t="s">
        <v>274</v>
      </c>
      <c r="H182" s="82"/>
      <c r="I182" s="82"/>
      <c r="J182" s="495">
        <f>$J$95</f>
        <v>2025</v>
      </c>
      <c r="K182" s="138"/>
      <c r="L182" s="1284" t="s">
        <v>275</v>
      </c>
      <c r="M182" s="1284"/>
      <c r="N182" s="1284"/>
      <c r="O182" s="1284"/>
      <c r="Q182" s="138"/>
    </row>
    <row r="183" spans="1:17">
      <c r="A183" s="978"/>
      <c r="C183" s="494" t="s">
        <v>276</v>
      </c>
      <c r="D183" s="656">
        <v>2013</v>
      </c>
      <c r="E183" s="494" t="s">
        <v>277</v>
      </c>
      <c r="F183" s="82"/>
      <c r="G183" s="82"/>
      <c r="I183"/>
      <c r="J183" s="650">
        <v>0</v>
      </c>
      <c r="K183" s="496"/>
      <c r="L183" s="475" t="s">
        <v>476</v>
      </c>
      <c r="Q183" s="496"/>
    </row>
    <row r="184" spans="1:17">
      <c r="A184" s="978"/>
      <c r="C184" s="494" t="s">
        <v>278</v>
      </c>
      <c r="D184" s="648">
        <v>6</v>
      </c>
      <c r="E184" s="494" t="s">
        <v>279</v>
      </c>
      <c r="F184" s="82"/>
      <c r="G184" s="82"/>
      <c r="I184"/>
      <c r="J184" s="497">
        <f>$F$70</f>
        <v>0.11108872081308177</v>
      </c>
      <c r="K184" s="84"/>
      <c r="L184" s="4" t="str">
        <f>"          INPUT TRUE-UP ARR (WITH &amp; WITHOUT INCENTIVES) FROM EACH PRIOR YEAR"</f>
        <v xml:space="preserve">          INPUT TRUE-UP ARR (WITH &amp; WITHOUT INCENTIVES) FROM EACH PRIOR YEAR</v>
      </c>
      <c r="Q184" s="84"/>
    </row>
    <row r="185" spans="1:17">
      <c r="A185" s="978"/>
      <c r="C185" s="494" t="s">
        <v>280</v>
      </c>
      <c r="D185" s="498">
        <f>H79</f>
        <v>38</v>
      </c>
      <c r="E185" s="494" t="s">
        <v>281</v>
      </c>
      <c r="F185" s="82"/>
      <c r="G185" s="82"/>
      <c r="I185"/>
      <c r="J185" s="497">
        <f>IF(H176="",J184,$F$69)</f>
        <v>0.11108872081308177</v>
      </c>
      <c r="K185" s="84"/>
      <c r="L185" s="4" t="s">
        <v>363</v>
      </c>
      <c r="M185" s="84"/>
      <c r="N185" s="84"/>
      <c r="O185" s="84"/>
      <c r="Q185" s="84"/>
    </row>
    <row r="186" spans="1:17" ht="13.5" thickBot="1">
      <c r="A186" s="978"/>
      <c r="C186" s="494" t="s">
        <v>282</v>
      </c>
      <c r="D186" s="649" t="s">
        <v>930</v>
      </c>
      <c r="E186" s="499" t="s">
        <v>283</v>
      </c>
      <c r="F186" s="500"/>
      <c r="G186" s="500"/>
      <c r="H186" s="501"/>
      <c r="I186" s="501"/>
      <c r="J186" s="488">
        <f>IF(D182=0,0,D182/D185)</f>
        <v>15420.558157894737</v>
      </c>
      <c r="K186" s="475"/>
      <c r="L186" s="475" t="s">
        <v>364</v>
      </c>
      <c r="M186" s="475"/>
      <c r="N186" s="475"/>
      <c r="O186" s="475"/>
      <c r="Q186" s="475"/>
    </row>
    <row r="187" spans="1:17" ht="38.25">
      <c r="A187" s="980"/>
      <c r="B187" s="12"/>
      <c r="C187" s="502" t="s">
        <v>273</v>
      </c>
      <c r="D187" s="503" t="s">
        <v>284</v>
      </c>
      <c r="E187" s="504" t="s">
        <v>285</v>
      </c>
      <c r="F187" s="503" t="s">
        <v>286</v>
      </c>
      <c r="G187" s="503" t="s">
        <v>459</v>
      </c>
      <c r="H187" s="504" t="s">
        <v>357</v>
      </c>
      <c r="I187" s="505" t="s">
        <v>357</v>
      </c>
      <c r="J187" s="502" t="s">
        <v>296</v>
      </c>
      <c r="K187" s="506"/>
      <c r="L187" s="504" t="s">
        <v>359</v>
      </c>
      <c r="M187" s="504" t="s">
        <v>365</v>
      </c>
      <c r="N187" s="504" t="s">
        <v>359</v>
      </c>
      <c r="O187" s="504" t="s">
        <v>367</v>
      </c>
      <c r="P187" s="504" t="s">
        <v>287</v>
      </c>
      <c r="Q187" s="131"/>
    </row>
    <row r="188" spans="1:17" ht="13.5" thickBot="1">
      <c r="C188" s="507" t="s">
        <v>178</v>
      </c>
      <c r="D188" s="508" t="s">
        <v>179</v>
      </c>
      <c r="E188" s="507" t="s">
        <v>38</v>
      </c>
      <c r="F188" s="508" t="s">
        <v>179</v>
      </c>
      <c r="G188" s="508" t="s">
        <v>179</v>
      </c>
      <c r="H188" s="509" t="s">
        <v>299</v>
      </c>
      <c r="I188" s="510" t="s">
        <v>301</v>
      </c>
      <c r="J188" s="507" t="s">
        <v>390</v>
      </c>
      <c r="K188" s="511"/>
      <c r="L188" s="509" t="s">
        <v>288</v>
      </c>
      <c r="M188" s="509" t="s">
        <v>288</v>
      </c>
      <c r="N188" s="509" t="s">
        <v>468</v>
      </c>
      <c r="O188" s="509" t="s">
        <v>468</v>
      </c>
      <c r="P188" s="509" t="s">
        <v>468</v>
      </c>
      <c r="Q188" s="138"/>
    </row>
    <row r="189" spans="1:17">
      <c r="C189" s="512">
        <f>IF(D183= "","-",D183)</f>
        <v>2013</v>
      </c>
      <c r="D189" s="477">
        <f>+D182</f>
        <v>585981.21</v>
      </c>
      <c r="E189" s="513">
        <f>+J186/12*(12-D184)</f>
        <v>7710.2790789473675</v>
      </c>
      <c r="F189" s="556">
        <f t="shared" ref="F189:F248" si="16">+D189-E189</f>
        <v>578270.93092105258</v>
      </c>
      <c r="G189" s="477">
        <f t="shared" ref="G189:G248" si="17">+(D189+F189)/2</f>
        <v>582126.07046052627</v>
      </c>
      <c r="H189" s="514">
        <f>+J184*G189+E189</f>
        <v>72377.919598353139</v>
      </c>
      <c r="I189" s="515">
        <f>+J185*G189+E189</f>
        <v>72377.919598353139</v>
      </c>
      <c r="J189" s="516">
        <f t="shared" ref="J189:J248" si="18">+I189-H189</f>
        <v>0</v>
      </c>
      <c r="K189" s="516"/>
      <c r="L189" s="517">
        <v>92625</v>
      </c>
      <c r="M189" s="557">
        <f t="shared" ref="M189:M248" si="19">IF(L189&lt;&gt;0,+H189-L189,0)</f>
        <v>-20247.080401646861</v>
      </c>
      <c r="N189" s="517">
        <v>92625</v>
      </c>
      <c r="O189" s="557">
        <f t="shared" ref="O189:O248" si="20">IF(N189&lt;&gt;0,+I189-N189,0)</f>
        <v>-20247.080401646861</v>
      </c>
      <c r="P189" s="557">
        <f t="shared" ref="P189:P248" si="21">+O189-M189</f>
        <v>0</v>
      </c>
      <c r="Q189" s="479"/>
    </row>
    <row r="190" spans="1:17">
      <c r="C190" s="512">
        <f>IF(D183="","-",+C189+1)</f>
        <v>2014</v>
      </c>
      <c r="D190" s="477">
        <f t="shared" ref="D190:D248" si="22">F189</f>
        <v>578270.93092105258</v>
      </c>
      <c r="E190" s="519">
        <f>IF(D190&gt;$J$186,$J$186,D190)</f>
        <v>15420.558157894737</v>
      </c>
      <c r="F190" s="519">
        <f t="shared" si="16"/>
        <v>562850.37276315782</v>
      </c>
      <c r="G190" s="477">
        <f t="shared" si="17"/>
        <v>570560.6518421052</v>
      </c>
      <c r="H190" s="513">
        <f>+J184*G190+E190</f>
        <v>78803.411117312309</v>
      </c>
      <c r="I190" s="520">
        <f>+J185*G190+E190</f>
        <v>78803.411117312309</v>
      </c>
      <c r="J190" s="516">
        <f t="shared" si="18"/>
        <v>0</v>
      </c>
      <c r="K190" s="516"/>
      <c r="L190" s="521">
        <v>87393</v>
      </c>
      <c r="M190" s="516">
        <f t="shared" si="19"/>
        <v>-8589.5888826876908</v>
      </c>
      <c r="N190" s="521">
        <v>87393</v>
      </c>
      <c r="O190" s="516">
        <f t="shared" si="20"/>
        <v>-8589.5888826876908</v>
      </c>
      <c r="P190" s="516">
        <f t="shared" si="21"/>
        <v>0</v>
      </c>
      <c r="Q190" s="479"/>
    </row>
    <row r="191" spans="1:17">
      <c r="C191" s="512">
        <f>IF(D183="","-",+C190+1)</f>
        <v>2015</v>
      </c>
      <c r="D191" s="477">
        <f t="shared" si="22"/>
        <v>562850.37276315782</v>
      </c>
      <c r="E191" s="519">
        <f t="shared" ref="E191:E248" si="23">IF(D191&gt;$J$186,$J$186,D191)</f>
        <v>15420.558157894737</v>
      </c>
      <c r="F191" s="519">
        <f t="shared" si="16"/>
        <v>547429.81460526306</v>
      </c>
      <c r="G191" s="477">
        <f t="shared" si="17"/>
        <v>555140.09368421044</v>
      </c>
      <c r="H191" s="513">
        <f>+J184*G191+E191</f>
        <v>77090.361037328053</v>
      </c>
      <c r="I191" s="520">
        <f>+J185*G191+E191</f>
        <v>77090.361037328053</v>
      </c>
      <c r="J191" s="516">
        <f t="shared" si="18"/>
        <v>0</v>
      </c>
      <c r="K191" s="516"/>
      <c r="L191" s="521">
        <v>87463</v>
      </c>
      <c r="M191" s="516">
        <f t="shared" si="19"/>
        <v>-10372.638962671947</v>
      </c>
      <c r="N191" s="521">
        <v>87463</v>
      </c>
      <c r="O191" s="516">
        <f t="shared" si="20"/>
        <v>-10372.638962671947</v>
      </c>
      <c r="P191" s="516">
        <f t="shared" si="21"/>
        <v>0</v>
      </c>
      <c r="Q191" s="479"/>
    </row>
    <row r="192" spans="1:17">
      <c r="C192" s="512">
        <f>IF(D183="","-",+C191+1)</f>
        <v>2016</v>
      </c>
      <c r="D192" s="477">
        <f t="shared" si="22"/>
        <v>547429.81460526306</v>
      </c>
      <c r="E192" s="519">
        <f t="shared" si="23"/>
        <v>15420.558157894737</v>
      </c>
      <c r="F192" s="519">
        <f t="shared" si="16"/>
        <v>532009.2564473683</v>
      </c>
      <c r="G192" s="477">
        <f t="shared" si="17"/>
        <v>539719.53552631568</v>
      </c>
      <c r="H192" s="513">
        <f>+J184*G192+E192</f>
        <v>75377.310957343783</v>
      </c>
      <c r="I192" s="520">
        <f>+J185*G192+E192</f>
        <v>75377.310957343783</v>
      </c>
      <c r="J192" s="516">
        <f t="shared" si="18"/>
        <v>0</v>
      </c>
      <c r="K192" s="516"/>
      <c r="L192" s="521">
        <v>85936</v>
      </c>
      <c r="M192" s="516">
        <f t="shared" si="19"/>
        <v>-10558.689042656217</v>
      </c>
      <c r="N192" s="521">
        <v>85936</v>
      </c>
      <c r="O192" s="516">
        <f t="shared" si="20"/>
        <v>-10558.689042656217</v>
      </c>
      <c r="P192" s="516">
        <f t="shared" si="21"/>
        <v>0</v>
      </c>
      <c r="Q192" s="479"/>
    </row>
    <row r="193" spans="3:17">
      <c r="C193" s="512">
        <f>IF(D183="","-",+C192+1)</f>
        <v>2017</v>
      </c>
      <c r="D193" s="477">
        <f t="shared" si="22"/>
        <v>532009.2564473683</v>
      </c>
      <c r="E193" s="519">
        <f t="shared" si="23"/>
        <v>15420.558157894737</v>
      </c>
      <c r="F193" s="519">
        <f t="shared" si="16"/>
        <v>516588.69828947354</v>
      </c>
      <c r="G193" s="477">
        <f t="shared" si="17"/>
        <v>524298.97736842092</v>
      </c>
      <c r="H193" s="513">
        <f>+J184*G193+E193</f>
        <v>73664.260877359528</v>
      </c>
      <c r="I193" s="520">
        <f>+J185*G193+E193</f>
        <v>73664.260877359528</v>
      </c>
      <c r="J193" s="516">
        <f t="shared" si="18"/>
        <v>0</v>
      </c>
      <c r="K193" s="516"/>
      <c r="L193" s="521">
        <v>77494</v>
      </c>
      <c r="M193" s="516">
        <f t="shared" si="19"/>
        <v>-3829.7391226404725</v>
      </c>
      <c r="N193" s="521">
        <v>77494</v>
      </c>
      <c r="O193" s="516">
        <f t="shared" si="20"/>
        <v>-3829.7391226404725</v>
      </c>
      <c r="P193" s="516">
        <f t="shared" si="21"/>
        <v>0</v>
      </c>
      <c r="Q193" s="479"/>
    </row>
    <row r="194" spans="3:17">
      <c r="C194" s="512">
        <f>IF(D183="","-",+C193+1)</f>
        <v>2018</v>
      </c>
      <c r="D194" s="477">
        <f t="shared" si="22"/>
        <v>516588.69828947354</v>
      </c>
      <c r="E194" s="519">
        <f t="shared" si="23"/>
        <v>15420.558157894737</v>
      </c>
      <c r="F194" s="519">
        <f t="shared" si="16"/>
        <v>501168.14013157878</v>
      </c>
      <c r="G194" s="477">
        <f t="shared" si="17"/>
        <v>508878.41921052616</v>
      </c>
      <c r="H194" s="513">
        <f>+J184*G194+E194</f>
        <v>71951.210797375257</v>
      </c>
      <c r="I194" s="520">
        <f>+J185*G194+E194</f>
        <v>71951.210797375257</v>
      </c>
      <c r="J194" s="516">
        <f t="shared" si="18"/>
        <v>0</v>
      </c>
      <c r="K194" s="516"/>
      <c r="L194" s="521">
        <v>70215</v>
      </c>
      <c r="M194" s="516">
        <f t="shared" si="19"/>
        <v>1736.2107973752572</v>
      </c>
      <c r="N194" s="521">
        <v>70215</v>
      </c>
      <c r="O194" s="516">
        <f t="shared" si="20"/>
        <v>1736.2107973752572</v>
      </c>
      <c r="P194" s="516">
        <f t="shared" si="21"/>
        <v>0</v>
      </c>
      <c r="Q194" s="479"/>
    </row>
    <row r="195" spans="3:17">
      <c r="C195" s="512">
        <f>IF(D183="","-",+C194+1)</f>
        <v>2019</v>
      </c>
      <c r="D195" s="477">
        <f t="shared" si="22"/>
        <v>501168.14013157878</v>
      </c>
      <c r="E195" s="519">
        <f t="shared" si="23"/>
        <v>15420.558157894737</v>
      </c>
      <c r="F195" s="519">
        <f t="shared" si="16"/>
        <v>485747.58197368402</v>
      </c>
      <c r="G195" s="477">
        <f t="shared" si="17"/>
        <v>493457.8610526314</v>
      </c>
      <c r="H195" s="513">
        <f>+J184*G195+E195</f>
        <v>70238.160717391002</v>
      </c>
      <c r="I195" s="520">
        <f>+J185*G195+E195</f>
        <v>70238.160717391002</v>
      </c>
      <c r="J195" s="516">
        <f t="shared" si="18"/>
        <v>0</v>
      </c>
      <c r="K195" s="516"/>
      <c r="L195" s="521">
        <v>65156.492655423965</v>
      </c>
      <c r="M195" s="516">
        <f t="shared" si="19"/>
        <v>5081.6680619670369</v>
      </c>
      <c r="N195" s="521">
        <v>65156.492655423965</v>
      </c>
      <c r="O195" s="516">
        <f t="shared" si="20"/>
        <v>5081.6680619670369</v>
      </c>
      <c r="P195" s="516">
        <f t="shared" si="21"/>
        <v>0</v>
      </c>
      <c r="Q195" s="479"/>
    </row>
    <row r="196" spans="3:17">
      <c r="C196" s="512">
        <f>IF(D183="","-",+C195+1)</f>
        <v>2020</v>
      </c>
      <c r="D196" s="477">
        <f t="shared" si="22"/>
        <v>485747.58197368402</v>
      </c>
      <c r="E196" s="519">
        <f t="shared" si="23"/>
        <v>15420.558157894737</v>
      </c>
      <c r="F196" s="519">
        <f t="shared" si="16"/>
        <v>470327.02381578926</v>
      </c>
      <c r="G196" s="477">
        <f t="shared" si="17"/>
        <v>478037.30289473664</v>
      </c>
      <c r="H196" s="513">
        <f>+J184*G196+E196</f>
        <v>68525.110637406746</v>
      </c>
      <c r="I196" s="520">
        <f>+J185*G196+E196</f>
        <v>68525.110637406746</v>
      </c>
      <c r="J196" s="516">
        <f t="shared" si="18"/>
        <v>0</v>
      </c>
      <c r="K196" s="516"/>
      <c r="L196" s="521">
        <v>61867.097648006813</v>
      </c>
      <c r="M196" s="516">
        <f t="shared" si="19"/>
        <v>6658.0129893999328</v>
      </c>
      <c r="N196" s="521">
        <v>61867.097648006813</v>
      </c>
      <c r="O196" s="516">
        <f t="shared" si="20"/>
        <v>6658.0129893999328</v>
      </c>
      <c r="P196" s="516">
        <f t="shared" si="21"/>
        <v>0</v>
      </c>
      <c r="Q196" s="479"/>
    </row>
    <row r="197" spans="3:17">
      <c r="C197" s="512">
        <f>IF(D183="","-",+C196+1)</f>
        <v>2021</v>
      </c>
      <c r="D197" s="477">
        <f t="shared" si="22"/>
        <v>470327.02381578926</v>
      </c>
      <c r="E197" s="519">
        <f t="shared" si="23"/>
        <v>15420.558157894737</v>
      </c>
      <c r="F197" s="519">
        <f t="shared" si="16"/>
        <v>454906.4656578945</v>
      </c>
      <c r="G197" s="477">
        <f t="shared" si="17"/>
        <v>462616.74473684188</v>
      </c>
      <c r="H197" s="513">
        <f>+J184*G197+E197</f>
        <v>66812.060557422476</v>
      </c>
      <c r="I197" s="520">
        <f>+J185*G197+E197</f>
        <v>66812.060557422476</v>
      </c>
      <c r="J197" s="516">
        <f t="shared" si="18"/>
        <v>0</v>
      </c>
      <c r="K197" s="516"/>
      <c r="L197" s="521">
        <v>61040.939819297004</v>
      </c>
      <c r="M197" s="516">
        <f t="shared" si="19"/>
        <v>5771.1207381254717</v>
      </c>
      <c r="N197" s="521">
        <v>61040.939819297004</v>
      </c>
      <c r="O197" s="516">
        <f t="shared" si="20"/>
        <v>5771.1207381254717</v>
      </c>
      <c r="P197" s="516">
        <f t="shared" si="21"/>
        <v>0</v>
      </c>
      <c r="Q197" s="479"/>
    </row>
    <row r="198" spans="3:17">
      <c r="C198" s="512">
        <f>IF(D183="","-",+C197+1)</f>
        <v>2022</v>
      </c>
      <c r="D198" s="477">
        <f t="shared" si="22"/>
        <v>454906.4656578945</v>
      </c>
      <c r="E198" s="519">
        <f t="shared" si="23"/>
        <v>15420.558157894737</v>
      </c>
      <c r="F198" s="519">
        <f t="shared" si="16"/>
        <v>439485.90749999974</v>
      </c>
      <c r="G198" s="477">
        <f t="shared" si="17"/>
        <v>447196.18657894712</v>
      </c>
      <c r="H198" s="513">
        <f>+J184*G198+E198</f>
        <v>65099.01047743822</v>
      </c>
      <c r="I198" s="520">
        <f>+J185*G198+E198</f>
        <v>65099.01047743822</v>
      </c>
      <c r="J198" s="516">
        <f t="shared" si="18"/>
        <v>0</v>
      </c>
      <c r="K198" s="516"/>
      <c r="L198" s="521">
        <v>61868.679962206836</v>
      </c>
      <c r="M198" s="516">
        <f t="shared" si="19"/>
        <v>3230.3305152313842</v>
      </c>
      <c r="N198" s="521">
        <v>61868.679962206836</v>
      </c>
      <c r="O198" s="516">
        <f t="shared" si="20"/>
        <v>3230.3305152313842</v>
      </c>
      <c r="P198" s="516">
        <f t="shared" si="21"/>
        <v>0</v>
      </c>
      <c r="Q198" s="479"/>
    </row>
    <row r="199" spans="3:17">
      <c r="C199" s="512">
        <f>IF(D183="","-",+C198+1)</f>
        <v>2023</v>
      </c>
      <c r="D199" s="477">
        <f t="shared" si="22"/>
        <v>439485.90749999974</v>
      </c>
      <c r="E199" s="519">
        <f t="shared" si="23"/>
        <v>15420.558157894737</v>
      </c>
      <c r="F199" s="519">
        <f t="shared" si="16"/>
        <v>424065.34934210498</v>
      </c>
      <c r="G199" s="477">
        <f t="shared" si="17"/>
        <v>431775.62842105236</v>
      </c>
      <c r="H199" s="513">
        <f>+J184*G199+E199</f>
        <v>63385.960397453957</v>
      </c>
      <c r="I199" s="520">
        <f>+J185*G199+E199</f>
        <v>63385.960397453957</v>
      </c>
      <c r="J199" s="516">
        <f t="shared" si="18"/>
        <v>0</v>
      </c>
      <c r="K199" s="516"/>
      <c r="L199" s="521">
        <v>65589.127763763885</v>
      </c>
      <c r="M199" s="516">
        <f t="shared" si="19"/>
        <v>-2203.1673663099282</v>
      </c>
      <c r="N199" s="521">
        <v>65589.127763763885</v>
      </c>
      <c r="O199" s="516">
        <f t="shared" si="20"/>
        <v>-2203.1673663099282</v>
      </c>
      <c r="P199" s="516">
        <f t="shared" si="21"/>
        <v>0</v>
      </c>
      <c r="Q199" s="479"/>
    </row>
    <row r="200" spans="3:17">
      <c r="C200" s="512">
        <f>IF(D183="","-",+C199+1)</f>
        <v>2024</v>
      </c>
      <c r="D200" s="477">
        <f t="shared" si="22"/>
        <v>424065.34934210498</v>
      </c>
      <c r="E200" s="519">
        <f t="shared" si="23"/>
        <v>15420.558157894737</v>
      </c>
      <c r="F200" s="519">
        <f t="shared" si="16"/>
        <v>408644.79118421022</v>
      </c>
      <c r="G200" s="477">
        <f t="shared" si="17"/>
        <v>416355.0702631576</v>
      </c>
      <c r="H200" s="513">
        <f>+J184*G200+E200</f>
        <v>61672.910317469694</v>
      </c>
      <c r="I200" s="520">
        <f>+J185*G200+E200</f>
        <v>61672.910317469694</v>
      </c>
      <c r="J200" s="516">
        <f t="shared" si="18"/>
        <v>0</v>
      </c>
      <c r="K200" s="516"/>
      <c r="L200" s="521">
        <v>65828.944266057893</v>
      </c>
      <c r="M200" s="516">
        <f t="shared" si="19"/>
        <v>-4156.0339485881996</v>
      </c>
      <c r="N200" s="521">
        <v>65828.944266057893</v>
      </c>
      <c r="O200" s="516">
        <f t="shared" si="20"/>
        <v>-4156.0339485881996</v>
      </c>
      <c r="P200" s="516">
        <f t="shared" si="21"/>
        <v>0</v>
      </c>
      <c r="Q200" s="479"/>
    </row>
    <row r="201" spans="3:17">
      <c r="C201" s="512">
        <f>IF(D183="","-",+C200+1)</f>
        <v>2025</v>
      </c>
      <c r="D201" s="477">
        <f t="shared" si="22"/>
        <v>408644.79118421022</v>
      </c>
      <c r="E201" s="519">
        <f t="shared" si="23"/>
        <v>15420.558157894737</v>
      </c>
      <c r="F201" s="519">
        <f t="shared" si="16"/>
        <v>393224.23302631546</v>
      </c>
      <c r="G201" s="477">
        <f t="shared" si="17"/>
        <v>400934.51210526284</v>
      </c>
      <c r="H201" s="513">
        <f>+J184*G201+E201</f>
        <v>59959.860237485438</v>
      </c>
      <c r="I201" s="520">
        <f>+J185*G201+E201</f>
        <v>59959.860237485438</v>
      </c>
      <c r="J201" s="516">
        <f t="shared" si="18"/>
        <v>0</v>
      </c>
      <c r="K201" s="516"/>
      <c r="L201" s="521">
        <v>62766.664861153491</v>
      </c>
      <c r="M201" s="516">
        <f t="shared" si="19"/>
        <v>-2806.804623668053</v>
      </c>
      <c r="N201" s="521">
        <v>62766.664861153491</v>
      </c>
      <c r="O201" s="516">
        <f t="shared" si="20"/>
        <v>-2806.804623668053</v>
      </c>
      <c r="P201" s="516">
        <f t="shared" si="21"/>
        <v>0</v>
      </c>
      <c r="Q201" s="479"/>
    </row>
    <row r="202" spans="3:17">
      <c r="C202" s="512">
        <f>IF(D183="","-",+C201+1)</f>
        <v>2026</v>
      </c>
      <c r="D202" s="477">
        <f t="shared" si="22"/>
        <v>393224.23302631546</v>
      </c>
      <c r="E202" s="519">
        <f t="shared" si="23"/>
        <v>15420.558157894737</v>
      </c>
      <c r="F202" s="519">
        <f t="shared" si="16"/>
        <v>377803.6748684207</v>
      </c>
      <c r="G202" s="477">
        <f t="shared" si="17"/>
        <v>385513.95394736808</v>
      </c>
      <c r="H202" s="513">
        <f>+J184*G202+E202</f>
        <v>58246.810157501175</v>
      </c>
      <c r="I202" s="520">
        <f>+J185*G202+E202</f>
        <v>58246.810157501175</v>
      </c>
      <c r="J202" s="516">
        <f t="shared" si="18"/>
        <v>0</v>
      </c>
      <c r="K202" s="516"/>
      <c r="L202" s="521"/>
      <c r="M202" s="516">
        <f t="shared" si="19"/>
        <v>0</v>
      </c>
      <c r="N202" s="521"/>
      <c r="O202" s="516">
        <f t="shared" si="20"/>
        <v>0</v>
      </c>
      <c r="P202" s="516">
        <f t="shared" si="21"/>
        <v>0</v>
      </c>
      <c r="Q202" s="479"/>
    </row>
    <row r="203" spans="3:17">
      <c r="C203" s="512">
        <f>IF(D183="","-",+C202+1)</f>
        <v>2027</v>
      </c>
      <c r="D203" s="477">
        <f t="shared" si="22"/>
        <v>377803.6748684207</v>
      </c>
      <c r="E203" s="519">
        <f t="shared" si="23"/>
        <v>15420.558157894737</v>
      </c>
      <c r="F203" s="519">
        <f t="shared" si="16"/>
        <v>362383.11671052594</v>
      </c>
      <c r="G203" s="477">
        <f t="shared" si="17"/>
        <v>370093.39578947332</v>
      </c>
      <c r="H203" s="513">
        <f>+J184*G203+E203</f>
        <v>56533.760077516912</v>
      </c>
      <c r="I203" s="520">
        <f>+J185*G203+E203</f>
        <v>56533.760077516912</v>
      </c>
      <c r="J203" s="516">
        <f t="shared" si="18"/>
        <v>0</v>
      </c>
      <c r="K203" s="516"/>
      <c r="L203" s="521"/>
      <c r="M203" s="516">
        <f t="shared" si="19"/>
        <v>0</v>
      </c>
      <c r="N203" s="521"/>
      <c r="O203" s="516">
        <f t="shared" si="20"/>
        <v>0</v>
      </c>
      <c r="P203" s="516">
        <f t="shared" si="21"/>
        <v>0</v>
      </c>
      <c r="Q203" s="479"/>
    </row>
    <row r="204" spans="3:17">
      <c r="C204" s="512">
        <f>IF(D183="","-",+C203+1)</f>
        <v>2028</v>
      </c>
      <c r="D204" s="477">
        <f t="shared" si="22"/>
        <v>362383.11671052594</v>
      </c>
      <c r="E204" s="519">
        <f t="shared" si="23"/>
        <v>15420.558157894737</v>
      </c>
      <c r="F204" s="519">
        <f t="shared" si="16"/>
        <v>346962.55855263118</v>
      </c>
      <c r="G204" s="477">
        <f t="shared" si="17"/>
        <v>354672.83763157856</v>
      </c>
      <c r="H204" s="513">
        <f>+J184*G204+E204</f>
        <v>54820.709997532649</v>
      </c>
      <c r="I204" s="520">
        <f>+J185*G204+E204</f>
        <v>54820.709997532649</v>
      </c>
      <c r="J204" s="516">
        <f t="shared" si="18"/>
        <v>0</v>
      </c>
      <c r="K204" s="516"/>
      <c r="L204" s="521"/>
      <c r="M204" s="516">
        <f t="shared" si="19"/>
        <v>0</v>
      </c>
      <c r="N204" s="521"/>
      <c r="O204" s="516">
        <f t="shared" si="20"/>
        <v>0</v>
      </c>
      <c r="P204" s="516">
        <f t="shared" si="21"/>
        <v>0</v>
      </c>
      <c r="Q204" s="479"/>
    </row>
    <row r="205" spans="3:17">
      <c r="C205" s="512">
        <f>IF(D183="","-",+C204+1)</f>
        <v>2029</v>
      </c>
      <c r="D205" s="477">
        <f t="shared" si="22"/>
        <v>346962.55855263118</v>
      </c>
      <c r="E205" s="519">
        <f t="shared" si="23"/>
        <v>15420.558157894737</v>
      </c>
      <c r="F205" s="519">
        <f t="shared" si="16"/>
        <v>331542.00039473642</v>
      </c>
      <c r="G205" s="477">
        <f t="shared" si="17"/>
        <v>339252.2794736838</v>
      </c>
      <c r="H205" s="513">
        <f>+J184*G205+E205</f>
        <v>53107.659917548386</v>
      </c>
      <c r="I205" s="520">
        <f>+J185*G205+E205</f>
        <v>53107.659917548386</v>
      </c>
      <c r="J205" s="516">
        <f t="shared" si="18"/>
        <v>0</v>
      </c>
      <c r="K205" s="516"/>
      <c r="L205" s="521"/>
      <c r="M205" s="516">
        <f t="shared" si="19"/>
        <v>0</v>
      </c>
      <c r="N205" s="521"/>
      <c r="O205" s="516">
        <f t="shared" si="20"/>
        <v>0</v>
      </c>
      <c r="P205" s="516">
        <f t="shared" si="21"/>
        <v>0</v>
      </c>
      <c r="Q205" s="479"/>
    </row>
    <row r="206" spans="3:17">
      <c r="C206" s="512">
        <f>IF(D183="","-",+C205+1)</f>
        <v>2030</v>
      </c>
      <c r="D206" s="477">
        <f t="shared" si="22"/>
        <v>331542.00039473642</v>
      </c>
      <c r="E206" s="519">
        <f t="shared" si="23"/>
        <v>15420.558157894737</v>
      </c>
      <c r="F206" s="519">
        <f t="shared" si="16"/>
        <v>316121.44223684166</v>
      </c>
      <c r="G206" s="477">
        <f t="shared" si="17"/>
        <v>323831.72131578904</v>
      </c>
      <c r="H206" s="513">
        <f>+J184*G206+E206</f>
        <v>51394.60983756413</v>
      </c>
      <c r="I206" s="520">
        <f>+J185*G206+E206</f>
        <v>51394.60983756413</v>
      </c>
      <c r="J206" s="516">
        <f t="shared" si="18"/>
        <v>0</v>
      </c>
      <c r="K206" s="516"/>
      <c r="L206" s="521"/>
      <c r="M206" s="516">
        <f t="shared" si="19"/>
        <v>0</v>
      </c>
      <c r="N206" s="521"/>
      <c r="O206" s="516">
        <f t="shared" si="20"/>
        <v>0</v>
      </c>
      <c r="P206" s="516">
        <f t="shared" si="21"/>
        <v>0</v>
      </c>
      <c r="Q206" s="479"/>
    </row>
    <row r="207" spans="3:17">
      <c r="C207" s="512">
        <f>IF(D183="","-",+C206+1)</f>
        <v>2031</v>
      </c>
      <c r="D207" s="477">
        <f t="shared" si="22"/>
        <v>316121.44223684166</v>
      </c>
      <c r="E207" s="519">
        <f t="shared" si="23"/>
        <v>15420.558157894737</v>
      </c>
      <c r="F207" s="519">
        <f t="shared" si="16"/>
        <v>300700.8840789469</v>
      </c>
      <c r="G207" s="477">
        <f t="shared" si="17"/>
        <v>308411.16315789428</v>
      </c>
      <c r="H207" s="513">
        <f>+J184*G207+E207</f>
        <v>49681.559757579867</v>
      </c>
      <c r="I207" s="520">
        <f>+J185*G207+E207</f>
        <v>49681.559757579867</v>
      </c>
      <c r="J207" s="516">
        <f t="shared" si="18"/>
        <v>0</v>
      </c>
      <c r="K207" s="516"/>
      <c r="L207" s="521"/>
      <c r="M207" s="516">
        <f t="shared" si="19"/>
        <v>0</v>
      </c>
      <c r="N207" s="521"/>
      <c r="O207" s="516">
        <f t="shared" si="20"/>
        <v>0</v>
      </c>
      <c r="P207" s="516">
        <f t="shared" si="21"/>
        <v>0</v>
      </c>
      <c r="Q207" s="479"/>
    </row>
    <row r="208" spans="3:17">
      <c r="C208" s="512">
        <f>IF(D183="","-",+C207+1)</f>
        <v>2032</v>
      </c>
      <c r="D208" s="477">
        <f t="shared" si="22"/>
        <v>300700.8840789469</v>
      </c>
      <c r="E208" s="519">
        <f t="shared" si="23"/>
        <v>15420.558157894737</v>
      </c>
      <c r="F208" s="519">
        <f t="shared" si="16"/>
        <v>285280.32592105214</v>
      </c>
      <c r="G208" s="477">
        <f t="shared" si="17"/>
        <v>292990.60499999952</v>
      </c>
      <c r="H208" s="513">
        <f>+J184*G208+E208</f>
        <v>47968.509677595604</v>
      </c>
      <c r="I208" s="520">
        <f>+J185*G208+E208</f>
        <v>47968.509677595604</v>
      </c>
      <c r="J208" s="516">
        <f t="shared" si="18"/>
        <v>0</v>
      </c>
      <c r="K208" s="516"/>
      <c r="L208" s="521"/>
      <c r="M208" s="516">
        <f t="shared" si="19"/>
        <v>0</v>
      </c>
      <c r="N208" s="521"/>
      <c r="O208" s="516">
        <f t="shared" si="20"/>
        <v>0</v>
      </c>
      <c r="P208" s="516">
        <f t="shared" si="21"/>
        <v>0</v>
      </c>
      <c r="Q208" s="479"/>
    </row>
    <row r="209" spans="3:17">
      <c r="C209" s="512">
        <f>IF(D183="","-",+C208+1)</f>
        <v>2033</v>
      </c>
      <c r="D209" s="477">
        <f t="shared" si="22"/>
        <v>285280.32592105214</v>
      </c>
      <c r="E209" s="519">
        <f t="shared" si="23"/>
        <v>15420.558157894737</v>
      </c>
      <c r="F209" s="519">
        <f t="shared" si="16"/>
        <v>269859.76776315738</v>
      </c>
      <c r="G209" s="477">
        <f t="shared" si="17"/>
        <v>277570.04684210476</v>
      </c>
      <c r="H209" s="513">
        <f>+J184*G209+E209</f>
        <v>46255.459597611341</v>
      </c>
      <c r="I209" s="520">
        <f>+J185*G209+E209</f>
        <v>46255.459597611341</v>
      </c>
      <c r="J209" s="516">
        <f t="shared" si="18"/>
        <v>0</v>
      </c>
      <c r="K209" s="516"/>
      <c r="L209" s="521"/>
      <c r="M209" s="516">
        <f t="shared" si="19"/>
        <v>0</v>
      </c>
      <c r="N209" s="521"/>
      <c r="O209" s="516">
        <f t="shared" si="20"/>
        <v>0</v>
      </c>
      <c r="P209" s="516">
        <f t="shared" si="21"/>
        <v>0</v>
      </c>
      <c r="Q209" s="479"/>
    </row>
    <row r="210" spans="3:17">
      <c r="C210" s="512">
        <f>IF(D183="","-",+C209+1)</f>
        <v>2034</v>
      </c>
      <c r="D210" s="477">
        <f t="shared" si="22"/>
        <v>269859.76776315738</v>
      </c>
      <c r="E210" s="519">
        <f t="shared" si="23"/>
        <v>15420.558157894737</v>
      </c>
      <c r="F210" s="519">
        <f t="shared" si="16"/>
        <v>254439.20960526264</v>
      </c>
      <c r="G210" s="477">
        <f t="shared" si="17"/>
        <v>262149.48868420999</v>
      </c>
      <c r="H210" s="513">
        <f>+J184*G210+E210</f>
        <v>44542.409517627078</v>
      </c>
      <c r="I210" s="520">
        <f>+J185*G210+E210</f>
        <v>44542.409517627078</v>
      </c>
      <c r="J210" s="516">
        <f t="shared" si="18"/>
        <v>0</v>
      </c>
      <c r="K210" s="516"/>
      <c r="L210" s="521"/>
      <c r="M210" s="516">
        <f t="shared" si="19"/>
        <v>0</v>
      </c>
      <c r="N210" s="521"/>
      <c r="O210" s="516">
        <f t="shared" si="20"/>
        <v>0</v>
      </c>
      <c r="P210" s="516">
        <f t="shared" si="21"/>
        <v>0</v>
      </c>
      <c r="Q210" s="479"/>
    </row>
    <row r="211" spans="3:17">
      <c r="C211" s="512">
        <f>IF(D183="","-",+C210+1)</f>
        <v>2035</v>
      </c>
      <c r="D211" s="477">
        <f t="shared" si="22"/>
        <v>254439.20960526264</v>
      </c>
      <c r="E211" s="519">
        <f t="shared" si="23"/>
        <v>15420.558157894737</v>
      </c>
      <c r="F211" s="519">
        <f t="shared" si="16"/>
        <v>239018.65144736791</v>
      </c>
      <c r="G211" s="477">
        <f t="shared" si="17"/>
        <v>246728.93052631529</v>
      </c>
      <c r="H211" s="513">
        <f>+J184*G211+E211</f>
        <v>42829.359437642823</v>
      </c>
      <c r="I211" s="520">
        <f>+J185*G211+E211</f>
        <v>42829.359437642823</v>
      </c>
      <c r="J211" s="516">
        <f t="shared" si="18"/>
        <v>0</v>
      </c>
      <c r="K211" s="516"/>
      <c r="L211" s="521"/>
      <c r="M211" s="516">
        <f t="shared" si="19"/>
        <v>0</v>
      </c>
      <c r="N211" s="521"/>
      <c r="O211" s="516">
        <f t="shared" si="20"/>
        <v>0</v>
      </c>
      <c r="P211" s="516">
        <f t="shared" si="21"/>
        <v>0</v>
      </c>
      <c r="Q211" s="479"/>
    </row>
    <row r="212" spans="3:17">
      <c r="C212" s="512">
        <f>IF(D183="","-",+C211+1)</f>
        <v>2036</v>
      </c>
      <c r="D212" s="477">
        <f t="shared" si="22"/>
        <v>239018.65144736791</v>
      </c>
      <c r="E212" s="519">
        <f t="shared" si="23"/>
        <v>15420.558157894737</v>
      </c>
      <c r="F212" s="519">
        <f t="shared" si="16"/>
        <v>223598.09328947318</v>
      </c>
      <c r="G212" s="477">
        <f t="shared" si="17"/>
        <v>231308.37236842053</v>
      </c>
      <c r="H212" s="513">
        <f>+J184*G212+E212</f>
        <v>41116.30935765856</v>
      </c>
      <c r="I212" s="520">
        <f>+J185*G212+E212</f>
        <v>41116.30935765856</v>
      </c>
      <c r="J212" s="516">
        <f t="shared" si="18"/>
        <v>0</v>
      </c>
      <c r="K212" s="516"/>
      <c r="L212" s="521"/>
      <c r="M212" s="516">
        <f t="shared" si="19"/>
        <v>0</v>
      </c>
      <c r="N212" s="521"/>
      <c r="O212" s="516">
        <f t="shared" si="20"/>
        <v>0</v>
      </c>
      <c r="P212" s="516">
        <f t="shared" si="21"/>
        <v>0</v>
      </c>
      <c r="Q212" s="479"/>
    </row>
    <row r="213" spans="3:17">
      <c r="C213" s="512">
        <f>IF(D183="","-",+C212+1)</f>
        <v>2037</v>
      </c>
      <c r="D213" s="477">
        <f t="shared" si="22"/>
        <v>223598.09328947318</v>
      </c>
      <c r="E213" s="519">
        <f t="shared" si="23"/>
        <v>15420.558157894737</v>
      </c>
      <c r="F213" s="519">
        <f t="shared" si="16"/>
        <v>208177.53513157845</v>
      </c>
      <c r="G213" s="477">
        <f t="shared" si="17"/>
        <v>215887.81421052583</v>
      </c>
      <c r="H213" s="513">
        <f>+J184*G213+E213</f>
        <v>39403.259277674311</v>
      </c>
      <c r="I213" s="520">
        <f>+J185*G213+E213</f>
        <v>39403.259277674311</v>
      </c>
      <c r="J213" s="516">
        <f t="shared" si="18"/>
        <v>0</v>
      </c>
      <c r="K213" s="516"/>
      <c r="L213" s="521"/>
      <c r="M213" s="516">
        <f t="shared" si="19"/>
        <v>0</v>
      </c>
      <c r="N213" s="521"/>
      <c r="O213" s="516">
        <f t="shared" si="20"/>
        <v>0</v>
      </c>
      <c r="P213" s="516">
        <f t="shared" si="21"/>
        <v>0</v>
      </c>
      <c r="Q213" s="479"/>
    </row>
    <row r="214" spans="3:17">
      <c r="C214" s="512">
        <f>IF(D183="","-",+C213+1)</f>
        <v>2038</v>
      </c>
      <c r="D214" s="477">
        <f t="shared" si="22"/>
        <v>208177.53513157845</v>
      </c>
      <c r="E214" s="519">
        <f t="shared" si="23"/>
        <v>15420.558157894737</v>
      </c>
      <c r="F214" s="519">
        <f t="shared" si="16"/>
        <v>192756.97697368372</v>
      </c>
      <c r="G214" s="477">
        <f t="shared" si="17"/>
        <v>200467.25605263107</v>
      </c>
      <c r="H214" s="513">
        <f>+J184*G214+E214</f>
        <v>37690.209197690048</v>
      </c>
      <c r="I214" s="520">
        <f>+J185*G214+E214</f>
        <v>37690.209197690048</v>
      </c>
      <c r="J214" s="516">
        <f t="shared" si="18"/>
        <v>0</v>
      </c>
      <c r="K214" s="516"/>
      <c r="L214" s="521"/>
      <c r="M214" s="516">
        <f t="shared" si="19"/>
        <v>0</v>
      </c>
      <c r="N214" s="521"/>
      <c r="O214" s="516">
        <f t="shared" si="20"/>
        <v>0</v>
      </c>
      <c r="P214" s="516">
        <f t="shared" si="21"/>
        <v>0</v>
      </c>
      <c r="Q214" s="479"/>
    </row>
    <row r="215" spans="3:17">
      <c r="C215" s="512">
        <f>IF(D183="","-",+C214+1)</f>
        <v>2039</v>
      </c>
      <c r="D215" s="477">
        <f t="shared" si="22"/>
        <v>192756.97697368372</v>
      </c>
      <c r="E215" s="519">
        <f t="shared" si="23"/>
        <v>15420.558157894737</v>
      </c>
      <c r="F215" s="519">
        <f t="shared" si="16"/>
        <v>177336.41881578899</v>
      </c>
      <c r="G215" s="477">
        <f t="shared" si="17"/>
        <v>185046.69789473637</v>
      </c>
      <c r="H215" s="513">
        <f>+J184*G215+E215</f>
        <v>35977.159117705793</v>
      </c>
      <c r="I215" s="520">
        <f>+J185*G215+E215</f>
        <v>35977.159117705793</v>
      </c>
      <c r="J215" s="516">
        <f t="shared" si="18"/>
        <v>0</v>
      </c>
      <c r="K215" s="516"/>
      <c r="L215" s="521"/>
      <c r="M215" s="516">
        <f t="shared" si="19"/>
        <v>0</v>
      </c>
      <c r="N215" s="521"/>
      <c r="O215" s="516">
        <f t="shared" si="20"/>
        <v>0</v>
      </c>
      <c r="P215" s="516">
        <f t="shared" si="21"/>
        <v>0</v>
      </c>
      <c r="Q215" s="479"/>
    </row>
    <row r="216" spans="3:17">
      <c r="C216" s="512">
        <f>IF(D183="","-",+C215+1)</f>
        <v>2040</v>
      </c>
      <c r="D216" s="477">
        <f t="shared" si="22"/>
        <v>177336.41881578899</v>
      </c>
      <c r="E216" s="519">
        <f t="shared" si="23"/>
        <v>15420.558157894737</v>
      </c>
      <c r="F216" s="519">
        <f t="shared" si="16"/>
        <v>161915.86065789426</v>
      </c>
      <c r="G216" s="477">
        <f t="shared" si="17"/>
        <v>169626.13973684161</v>
      </c>
      <c r="H216" s="513">
        <f>+J184*G216+E216</f>
        <v>34264.10903772153</v>
      </c>
      <c r="I216" s="520">
        <f>+J185*G216+E216</f>
        <v>34264.10903772153</v>
      </c>
      <c r="J216" s="516">
        <f t="shared" si="18"/>
        <v>0</v>
      </c>
      <c r="K216" s="516"/>
      <c r="L216" s="521"/>
      <c r="M216" s="516">
        <f t="shared" si="19"/>
        <v>0</v>
      </c>
      <c r="N216" s="521"/>
      <c r="O216" s="516">
        <f t="shared" si="20"/>
        <v>0</v>
      </c>
      <c r="P216" s="516">
        <f t="shared" si="21"/>
        <v>0</v>
      </c>
      <c r="Q216" s="479"/>
    </row>
    <row r="217" spans="3:17">
      <c r="C217" s="512">
        <f>IF(D183="","-",+C216+1)</f>
        <v>2041</v>
      </c>
      <c r="D217" s="477">
        <f t="shared" si="22"/>
        <v>161915.86065789426</v>
      </c>
      <c r="E217" s="519">
        <f t="shared" si="23"/>
        <v>15420.558157894737</v>
      </c>
      <c r="F217" s="519">
        <f t="shared" si="16"/>
        <v>146495.30249999953</v>
      </c>
      <c r="G217" s="477">
        <f t="shared" si="17"/>
        <v>154205.58157894691</v>
      </c>
      <c r="H217" s="513">
        <f>+J184*G217+E217</f>
        <v>32551.058957737274</v>
      </c>
      <c r="I217" s="520">
        <f>+J185*G217+E217</f>
        <v>32551.058957737274</v>
      </c>
      <c r="J217" s="516">
        <f t="shared" si="18"/>
        <v>0</v>
      </c>
      <c r="K217" s="516"/>
      <c r="L217" s="521"/>
      <c r="M217" s="516">
        <f t="shared" si="19"/>
        <v>0</v>
      </c>
      <c r="N217" s="521"/>
      <c r="O217" s="516">
        <f t="shared" si="20"/>
        <v>0</v>
      </c>
      <c r="P217" s="516">
        <f t="shared" si="21"/>
        <v>0</v>
      </c>
      <c r="Q217" s="479"/>
    </row>
    <row r="218" spans="3:17">
      <c r="C218" s="512">
        <f>IF(D183="","-",+C217+1)</f>
        <v>2042</v>
      </c>
      <c r="D218" s="477">
        <f t="shared" si="22"/>
        <v>146495.30249999953</v>
      </c>
      <c r="E218" s="519">
        <f t="shared" si="23"/>
        <v>15420.558157894737</v>
      </c>
      <c r="F218" s="519">
        <f t="shared" si="16"/>
        <v>131074.74434210479</v>
      </c>
      <c r="G218" s="477">
        <f t="shared" si="17"/>
        <v>138785.02342105214</v>
      </c>
      <c r="H218" s="513">
        <f>+J184*G218+E218</f>
        <v>30838.008877753011</v>
      </c>
      <c r="I218" s="520">
        <f>+J185*G218+E218</f>
        <v>30838.008877753011</v>
      </c>
      <c r="J218" s="516">
        <f t="shared" si="18"/>
        <v>0</v>
      </c>
      <c r="K218" s="516"/>
      <c r="L218" s="521"/>
      <c r="M218" s="516">
        <f t="shared" si="19"/>
        <v>0</v>
      </c>
      <c r="N218" s="521"/>
      <c r="O218" s="516">
        <f t="shared" si="20"/>
        <v>0</v>
      </c>
      <c r="P218" s="516">
        <f t="shared" si="21"/>
        <v>0</v>
      </c>
      <c r="Q218" s="479"/>
    </row>
    <row r="219" spans="3:17">
      <c r="C219" s="512">
        <f>IF(D183="","-",+C218+1)</f>
        <v>2043</v>
      </c>
      <c r="D219" s="477">
        <f t="shared" si="22"/>
        <v>131074.74434210479</v>
      </c>
      <c r="E219" s="519">
        <f t="shared" si="23"/>
        <v>15420.558157894737</v>
      </c>
      <c r="F219" s="519">
        <f t="shared" si="16"/>
        <v>115654.18618421006</v>
      </c>
      <c r="G219" s="477">
        <f t="shared" si="17"/>
        <v>123364.46526315743</v>
      </c>
      <c r="H219" s="513">
        <f>+J184*G219+E219</f>
        <v>29124.958797768755</v>
      </c>
      <c r="I219" s="520">
        <f>+J185*G219+E219</f>
        <v>29124.958797768755</v>
      </c>
      <c r="J219" s="516">
        <f t="shared" si="18"/>
        <v>0</v>
      </c>
      <c r="K219" s="516"/>
      <c r="L219" s="521"/>
      <c r="M219" s="516">
        <f t="shared" si="19"/>
        <v>0</v>
      </c>
      <c r="N219" s="521"/>
      <c r="O219" s="516">
        <f t="shared" si="20"/>
        <v>0</v>
      </c>
      <c r="P219" s="516">
        <f t="shared" si="21"/>
        <v>0</v>
      </c>
      <c r="Q219" s="479"/>
    </row>
    <row r="220" spans="3:17">
      <c r="C220" s="512">
        <f>IF(D183="","-",+C219+1)</f>
        <v>2044</v>
      </c>
      <c r="D220" s="477">
        <f t="shared" si="22"/>
        <v>115654.18618421006</v>
      </c>
      <c r="E220" s="519">
        <f t="shared" si="23"/>
        <v>15420.558157894737</v>
      </c>
      <c r="F220" s="519">
        <f t="shared" si="16"/>
        <v>100233.62802631533</v>
      </c>
      <c r="G220" s="477">
        <f t="shared" si="17"/>
        <v>107943.9071052627</v>
      </c>
      <c r="H220" s="513">
        <f>+J184*G220+E220</f>
        <v>27411.908717784499</v>
      </c>
      <c r="I220" s="520">
        <f>+J185*G220+E220</f>
        <v>27411.908717784499</v>
      </c>
      <c r="J220" s="516">
        <f t="shared" si="18"/>
        <v>0</v>
      </c>
      <c r="K220" s="516"/>
      <c r="L220" s="521"/>
      <c r="M220" s="516">
        <f t="shared" si="19"/>
        <v>0</v>
      </c>
      <c r="N220" s="521"/>
      <c r="O220" s="516">
        <f t="shared" si="20"/>
        <v>0</v>
      </c>
      <c r="P220" s="516">
        <f t="shared" si="21"/>
        <v>0</v>
      </c>
      <c r="Q220" s="479"/>
    </row>
    <row r="221" spans="3:17">
      <c r="C221" s="512">
        <f>IF(D183="","-",+C220+1)</f>
        <v>2045</v>
      </c>
      <c r="D221" s="477">
        <f t="shared" si="22"/>
        <v>100233.62802631533</v>
      </c>
      <c r="E221" s="519">
        <f t="shared" si="23"/>
        <v>15420.558157894737</v>
      </c>
      <c r="F221" s="519">
        <f t="shared" si="16"/>
        <v>84813.0698684206</v>
      </c>
      <c r="G221" s="477">
        <f t="shared" si="17"/>
        <v>92523.348947367966</v>
      </c>
      <c r="H221" s="513">
        <f>+J184*G221+E221</f>
        <v>25698.85863780024</v>
      </c>
      <c r="I221" s="520">
        <f>+J185*G221+E221</f>
        <v>25698.85863780024</v>
      </c>
      <c r="J221" s="516">
        <f t="shared" si="18"/>
        <v>0</v>
      </c>
      <c r="K221" s="516"/>
      <c r="L221" s="521"/>
      <c r="M221" s="516">
        <f t="shared" si="19"/>
        <v>0</v>
      </c>
      <c r="N221" s="521"/>
      <c r="O221" s="516">
        <f t="shared" si="20"/>
        <v>0</v>
      </c>
      <c r="P221" s="516">
        <f t="shared" si="21"/>
        <v>0</v>
      </c>
      <c r="Q221" s="479"/>
    </row>
    <row r="222" spans="3:17">
      <c r="C222" s="512">
        <f>IF(D183="","-",+C221+1)</f>
        <v>2046</v>
      </c>
      <c r="D222" s="477">
        <f t="shared" si="22"/>
        <v>84813.0698684206</v>
      </c>
      <c r="E222" s="519">
        <f t="shared" si="23"/>
        <v>15420.558157894737</v>
      </c>
      <c r="F222" s="519">
        <f t="shared" si="16"/>
        <v>69392.511710525869</v>
      </c>
      <c r="G222" s="477">
        <f t="shared" si="17"/>
        <v>77102.790789473234</v>
      </c>
      <c r="H222" s="513">
        <f>+J184*G222+E222</f>
        <v>23985.808557815981</v>
      </c>
      <c r="I222" s="520">
        <f>+J185*G222+E222</f>
        <v>23985.808557815981</v>
      </c>
      <c r="J222" s="516">
        <f t="shared" si="18"/>
        <v>0</v>
      </c>
      <c r="K222" s="516"/>
      <c r="L222" s="521"/>
      <c r="M222" s="516">
        <f t="shared" si="19"/>
        <v>0</v>
      </c>
      <c r="N222" s="521"/>
      <c r="O222" s="516">
        <f t="shared" si="20"/>
        <v>0</v>
      </c>
      <c r="P222" s="516">
        <f t="shared" si="21"/>
        <v>0</v>
      </c>
      <c r="Q222" s="479"/>
    </row>
    <row r="223" spans="3:17">
      <c r="C223" s="512">
        <f>IF(D183="","-",+C222+1)</f>
        <v>2047</v>
      </c>
      <c r="D223" s="477">
        <f t="shared" si="22"/>
        <v>69392.511710525869</v>
      </c>
      <c r="E223" s="519">
        <f t="shared" si="23"/>
        <v>15420.558157894737</v>
      </c>
      <c r="F223" s="519">
        <f t="shared" si="16"/>
        <v>53971.95355263113</v>
      </c>
      <c r="G223" s="477">
        <f t="shared" si="17"/>
        <v>61682.232631578503</v>
      </c>
      <c r="H223" s="513">
        <f>+J184*G223+E223</f>
        <v>22272.758477831725</v>
      </c>
      <c r="I223" s="520">
        <f>+J185*G223+E223</f>
        <v>22272.758477831725</v>
      </c>
      <c r="J223" s="516">
        <f t="shared" si="18"/>
        <v>0</v>
      </c>
      <c r="K223" s="516"/>
      <c r="L223" s="521"/>
      <c r="M223" s="516">
        <f t="shared" si="19"/>
        <v>0</v>
      </c>
      <c r="N223" s="521"/>
      <c r="O223" s="516">
        <f t="shared" si="20"/>
        <v>0</v>
      </c>
      <c r="P223" s="516">
        <f t="shared" si="21"/>
        <v>0</v>
      </c>
      <c r="Q223" s="479"/>
    </row>
    <row r="224" spans="3:17">
      <c r="C224" s="512">
        <f>IF(D183="","-",+C223+1)</f>
        <v>2048</v>
      </c>
      <c r="D224" s="477">
        <f t="shared" si="22"/>
        <v>53971.95355263113</v>
      </c>
      <c r="E224" s="519">
        <f t="shared" si="23"/>
        <v>15420.558157894737</v>
      </c>
      <c r="F224" s="519">
        <f t="shared" si="16"/>
        <v>38551.395394736392</v>
      </c>
      <c r="G224" s="477">
        <f t="shared" si="17"/>
        <v>46261.674473683757</v>
      </c>
      <c r="H224" s="513">
        <f>+J184*G224+E224</f>
        <v>20559.708397847462</v>
      </c>
      <c r="I224" s="520">
        <f>+J185*G224+E224</f>
        <v>20559.708397847462</v>
      </c>
      <c r="J224" s="516">
        <f t="shared" si="18"/>
        <v>0</v>
      </c>
      <c r="K224" s="516"/>
      <c r="L224" s="521"/>
      <c r="M224" s="516">
        <f t="shared" si="19"/>
        <v>0</v>
      </c>
      <c r="N224" s="521"/>
      <c r="O224" s="516">
        <f t="shared" si="20"/>
        <v>0</v>
      </c>
      <c r="P224" s="516">
        <f t="shared" si="21"/>
        <v>0</v>
      </c>
      <c r="Q224" s="479"/>
    </row>
    <row r="225" spans="3:17">
      <c r="C225" s="512">
        <f>IF(D183="","-",+C224+1)</f>
        <v>2049</v>
      </c>
      <c r="D225" s="477">
        <f t="shared" si="22"/>
        <v>38551.395394736392</v>
      </c>
      <c r="E225" s="519">
        <f t="shared" si="23"/>
        <v>15420.558157894737</v>
      </c>
      <c r="F225" s="519">
        <f t="shared" si="16"/>
        <v>23130.837236841653</v>
      </c>
      <c r="G225" s="477">
        <f t="shared" si="17"/>
        <v>30841.116315789022</v>
      </c>
      <c r="H225" s="513">
        <f>+J184*G225+E225</f>
        <v>18846.658317863206</v>
      </c>
      <c r="I225" s="520">
        <f>+J185*G225+E225</f>
        <v>18846.658317863206</v>
      </c>
      <c r="J225" s="516">
        <f t="shared" si="18"/>
        <v>0</v>
      </c>
      <c r="K225" s="516"/>
      <c r="L225" s="521"/>
      <c r="M225" s="516">
        <f t="shared" si="19"/>
        <v>0</v>
      </c>
      <c r="N225" s="521"/>
      <c r="O225" s="516">
        <f t="shared" si="20"/>
        <v>0</v>
      </c>
      <c r="P225" s="516">
        <f t="shared" si="21"/>
        <v>0</v>
      </c>
      <c r="Q225" s="479"/>
    </row>
    <row r="226" spans="3:17">
      <c r="C226" s="512">
        <f>IF(D183="","-",+C225+1)</f>
        <v>2050</v>
      </c>
      <c r="D226" s="477">
        <f t="shared" si="22"/>
        <v>23130.837236841653</v>
      </c>
      <c r="E226" s="519">
        <f t="shared" si="23"/>
        <v>15420.558157894737</v>
      </c>
      <c r="F226" s="519">
        <f t="shared" si="16"/>
        <v>7710.2790789469163</v>
      </c>
      <c r="G226" s="477">
        <f t="shared" si="17"/>
        <v>15420.558157894284</v>
      </c>
      <c r="H226" s="513">
        <f>+J184*G226+E226</f>
        <v>17133.608237878947</v>
      </c>
      <c r="I226" s="520">
        <f>+J185*G226+E226</f>
        <v>17133.608237878947</v>
      </c>
      <c r="J226" s="516">
        <f t="shared" si="18"/>
        <v>0</v>
      </c>
      <c r="K226" s="516"/>
      <c r="L226" s="521"/>
      <c r="M226" s="516">
        <f t="shared" si="19"/>
        <v>0</v>
      </c>
      <c r="N226" s="521"/>
      <c r="O226" s="516">
        <f t="shared" si="20"/>
        <v>0</v>
      </c>
      <c r="P226" s="516">
        <f t="shared" si="21"/>
        <v>0</v>
      </c>
      <c r="Q226" s="479"/>
    </row>
    <row r="227" spans="3:17">
      <c r="C227" s="512">
        <f>IF(D183="","-",+C226+1)</f>
        <v>2051</v>
      </c>
      <c r="D227" s="477">
        <f t="shared" si="22"/>
        <v>7710.2790789469163</v>
      </c>
      <c r="E227" s="519">
        <f t="shared" si="23"/>
        <v>7710.2790789469163</v>
      </c>
      <c r="F227" s="519">
        <f t="shared" si="16"/>
        <v>0</v>
      </c>
      <c r="G227" s="477">
        <f t="shared" si="17"/>
        <v>3855.1395394734582</v>
      </c>
      <c r="H227" s="513">
        <f>+J184*G227+E227</f>
        <v>8138.5415989429557</v>
      </c>
      <c r="I227" s="520">
        <f>+J185*G227+E227</f>
        <v>8138.5415989429557</v>
      </c>
      <c r="J227" s="516">
        <f t="shared" si="18"/>
        <v>0</v>
      </c>
      <c r="K227" s="516"/>
      <c r="L227" s="521"/>
      <c r="M227" s="516">
        <f t="shared" si="19"/>
        <v>0</v>
      </c>
      <c r="N227" s="521"/>
      <c r="O227" s="516">
        <f t="shared" si="20"/>
        <v>0</v>
      </c>
      <c r="P227" s="516">
        <f t="shared" si="21"/>
        <v>0</v>
      </c>
      <c r="Q227" s="479"/>
    </row>
    <row r="228" spans="3:17">
      <c r="C228" s="512">
        <f>IF(D183="","-",+C227+1)</f>
        <v>2052</v>
      </c>
      <c r="D228" s="477">
        <f t="shared" si="22"/>
        <v>0</v>
      </c>
      <c r="E228" s="519">
        <f t="shared" si="23"/>
        <v>0</v>
      </c>
      <c r="F228" s="519">
        <f t="shared" si="16"/>
        <v>0</v>
      </c>
      <c r="G228" s="477">
        <f t="shared" si="17"/>
        <v>0</v>
      </c>
      <c r="H228" s="513">
        <f>+J184*G228+E228</f>
        <v>0</v>
      </c>
      <c r="I228" s="520">
        <f>+J185*G228+E228</f>
        <v>0</v>
      </c>
      <c r="J228" s="516">
        <f t="shared" si="18"/>
        <v>0</v>
      </c>
      <c r="K228" s="516"/>
      <c r="L228" s="521"/>
      <c r="M228" s="516">
        <f t="shared" si="19"/>
        <v>0</v>
      </c>
      <c r="N228" s="521"/>
      <c r="O228" s="516">
        <f t="shared" si="20"/>
        <v>0</v>
      </c>
      <c r="P228" s="516">
        <f t="shared" si="21"/>
        <v>0</v>
      </c>
      <c r="Q228" s="479"/>
    </row>
    <row r="229" spans="3:17">
      <c r="C229" s="512">
        <f>IF(D183="","-",+C228+1)</f>
        <v>2053</v>
      </c>
      <c r="D229" s="477">
        <f t="shared" si="22"/>
        <v>0</v>
      </c>
      <c r="E229" s="519">
        <f t="shared" si="23"/>
        <v>0</v>
      </c>
      <c r="F229" s="519">
        <f t="shared" si="16"/>
        <v>0</v>
      </c>
      <c r="G229" s="477">
        <f t="shared" si="17"/>
        <v>0</v>
      </c>
      <c r="H229" s="513">
        <f>+J184*G229+E229</f>
        <v>0</v>
      </c>
      <c r="I229" s="520">
        <f>+J185*G229+E229</f>
        <v>0</v>
      </c>
      <c r="J229" s="516">
        <f t="shared" si="18"/>
        <v>0</v>
      </c>
      <c r="K229" s="516"/>
      <c r="L229" s="521"/>
      <c r="M229" s="516">
        <f t="shared" si="19"/>
        <v>0</v>
      </c>
      <c r="N229" s="521"/>
      <c r="O229" s="516">
        <f t="shared" si="20"/>
        <v>0</v>
      </c>
      <c r="P229" s="516">
        <f t="shared" si="21"/>
        <v>0</v>
      </c>
      <c r="Q229" s="479"/>
    </row>
    <row r="230" spans="3:17">
      <c r="C230" s="512">
        <f>IF(D183="","-",+C229+1)</f>
        <v>2054</v>
      </c>
      <c r="D230" s="477">
        <f t="shared" si="22"/>
        <v>0</v>
      </c>
      <c r="E230" s="519">
        <f t="shared" si="23"/>
        <v>0</v>
      </c>
      <c r="F230" s="519">
        <f t="shared" si="16"/>
        <v>0</v>
      </c>
      <c r="G230" s="477">
        <f t="shared" si="17"/>
        <v>0</v>
      </c>
      <c r="H230" s="513">
        <f>+J184*G230+E230</f>
        <v>0</v>
      </c>
      <c r="I230" s="520">
        <f>+J185*G230+E230</f>
        <v>0</v>
      </c>
      <c r="J230" s="516">
        <f t="shared" si="18"/>
        <v>0</v>
      </c>
      <c r="K230" s="516"/>
      <c r="L230" s="521"/>
      <c r="M230" s="516">
        <f t="shared" si="19"/>
        <v>0</v>
      </c>
      <c r="N230" s="521"/>
      <c r="O230" s="516">
        <f t="shared" si="20"/>
        <v>0</v>
      </c>
      <c r="P230" s="516">
        <f t="shared" si="21"/>
        <v>0</v>
      </c>
      <c r="Q230" s="479"/>
    </row>
    <row r="231" spans="3:17">
      <c r="C231" s="512">
        <f>IF(D183="","-",+C230+1)</f>
        <v>2055</v>
      </c>
      <c r="D231" s="477">
        <f t="shared" si="22"/>
        <v>0</v>
      </c>
      <c r="E231" s="519">
        <f t="shared" si="23"/>
        <v>0</v>
      </c>
      <c r="F231" s="519">
        <f t="shared" si="16"/>
        <v>0</v>
      </c>
      <c r="G231" s="477">
        <f t="shared" si="17"/>
        <v>0</v>
      </c>
      <c r="H231" s="513">
        <f>+J184*G231+E231</f>
        <v>0</v>
      </c>
      <c r="I231" s="520">
        <f>+J185*G231+E231</f>
        <v>0</v>
      </c>
      <c r="J231" s="516">
        <f t="shared" si="18"/>
        <v>0</v>
      </c>
      <c r="K231" s="516"/>
      <c r="L231" s="521"/>
      <c r="M231" s="516">
        <f t="shared" si="19"/>
        <v>0</v>
      </c>
      <c r="N231" s="521"/>
      <c r="O231" s="516">
        <f t="shared" si="20"/>
        <v>0</v>
      </c>
      <c r="P231" s="516">
        <f t="shared" si="21"/>
        <v>0</v>
      </c>
      <c r="Q231" s="479"/>
    </row>
    <row r="232" spans="3:17">
      <c r="C232" s="512">
        <f>IF(D183="","-",+C231+1)</f>
        <v>2056</v>
      </c>
      <c r="D232" s="477">
        <f t="shared" si="22"/>
        <v>0</v>
      </c>
      <c r="E232" s="519">
        <f t="shared" si="23"/>
        <v>0</v>
      </c>
      <c r="F232" s="519">
        <f t="shared" si="16"/>
        <v>0</v>
      </c>
      <c r="G232" s="477">
        <f t="shared" si="17"/>
        <v>0</v>
      </c>
      <c r="H232" s="513">
        <f>+J184*G232+E232</f>
        <v>0</v>
      </c>
      <c r="I232" s="520">
        <f>+J185*G232+E232</f>
        <v>0</v>
      </c>
      <c r="J232" s="516">
        <f t="shared" si="18"/>
        <v>0</v>
      </c>
      <c r="K232" s="516"/>
      <c r="L232" s="521"/>
      <c r="M232" s="516">
        <f t="shared" si="19"/>
        <v>0</v>
      </c>
      <c r="N232" s="521"/>
      <c r="O232" s="516">
        <f t="shared" si="20"/>
        <v>0</v>
      </c>
      <c r="P232" s="516">
        <f t="shared" si="21"/>
        <v>0</v>
      </c>
      <c r="Q232" s="479"/>
    </row>
    <row r="233" spans="3:17">
      <c r="C233" s="512">
        <f>IF(D183="","-",+C232+1)</f>
        <v>2057</v>
      </c>
      <c r="D233" s="477">
        <f t="shared" si="22"/>
        <v>0</v>
      </c>
      <c r="E233" s="519">
        <f t="shared" si="23"/>
        <v>0</v>
      </c>
      <c r="F233" s="519">
        <f t="shared" si="16"/>
        <v>0</v>
      </c>
      <c r="G233" s="477">
        <f t="shared" si="17"/>
        <v>0</v>
      </c>
      <c r="H233" s="513">
        <f>+J184*G233+E233</f>
        <v>0</v>
      </c>
      <c r="I233" s="520">
        <f>+J185*G233+E233</f>
        <v>0</v>
      </c>
      <c r="J233" s="516">
        <f t="shared" si="18"/>
        <v>0</v>
      </c>
      <c r="K233" s="516"/>
      <c r="L233" s="521"/>
      <c r="M233" s="516">
        <f t="shared" si="19"/>
        <v>0</v>
      </c>
      <c r="N233" s="521"/>
      <c r="O233" s="516">
        <f t="shared" si="20"/>
        <v>0</v>
      </c>
      <c r="P233" s="516">
        <f t="shared" si="21"/>
        <v>0</v>
      </c>
      <c r="Q233" s="479"/>
    </row>
    <row r="234" spans="3:17">
      <c r="C234" s="512">
        <f>IF(D183="","-",+C233+1)</f>
        <v>2058</v>
      </c>
      <c r="D234" s="477">
        <f t="shared" si="22"/>
        <v>0</v>
      </c>
      <c r="E234" s="519">
        <f t="shared" si="23"/>
        <v>0</v>
      </c>
      <c r="F234" s="519">
        <f t="shared" si="16"/>
        <v>0</v>
      </c>
      <c r="G234" s="477">
        <f t="shared" si="17"/>
        <v>0</v>
      </c>
      <c r="H234" s="513">
        <f>+J184*G234+E234</f>
        <v>0</v>
      </c>
      <c r="I234" s="520">
        <f>+J185*G234+E234</f>
        <v>0</v>
      </c>
      <c r="J234" s="516">
        <f t="shared" si="18"/>
        <v>0</v>
      </c>
      <c r="K234" s="516"/>
      <c r="L234" s="521"/>
      <c r="M234" s="516">
        <f t="shared" si="19"/>
        <v>0</v>
      </c>
      <c r="N234" s="521"/>
      <c r="O234" s="516">
        <f t="shared" si="20"/>
        <v>0</v>
      </c>
      <c r="P234" s="516">
        <f t="shared" si="21"/>
        <v>0</v>
      </c>
      <c r="Q234" s="479"/>
    </row>
    <row r="235" spans="3:17">
      <c r="C235" s="512">
        <f>IF(D183="","-",+C234+1)</f>
        <v>2059</v>
      </c>
      <c r="D235" s="477">
        <f t="shared" si="22"/>
        <v>0</v>
      </c>
      <c r="E235" s="519">
        <f t="shared" si="23"/>
        <v>0</v>
      </c>
      <c r="F235" s="519">
        <f t="shared" si="16"/>
        <v>0</v>
      </c>
      <c r="G235" s="477">
        <f t="shared" si="17"/>
        <v>0</v>
      </c>
      <c r="H235" s="513">
        <f>+J184*G235+E235</f>
        <v>0</v>
      </c>
      <c r="I235" s="520">
        <f>+J185*G235+E235</f>
        <v>0</v>
      </c>
      <c r="J235" s="516">
        <f t="shared" si="18"/>
        <v>0</v>
      </c>
      <c r="K235" s="516"/>
      <c r="L235" s="521"/>
      <c r="M235" s="516">
        <f t="shared" si="19"/>
        <v>0</v>
      </c>
      <c r="N235" s="521"/>
      <c r="O235" s="516">
        <f t="shared" si="20"/>
        <v>0</v>
      </c>
      <c r="P235" s="516">
        <f t="shared" si="21"/>
        <v>0</v>
      </c>
      <c r="Q235" s="479"/>
    </row>
    <row r="236" spans="3:17">
      <c r="C236" s="512">
        <f>IF(D183="","-",+C235+1)</f>
        <v>2060</v>
      </c>
      <c r="D236" s="477">
        <f t="shared" si="22"/>
        <v>0</v>
      </c>
      <c r="E236" s="519">
        <f t="shared" si="23"/>
        <v>0</v>
      </c>
      <c r="F236" s="519">
        <f t="shared" si="16"/>
        <v>0</v>
      </c>
      <c r="G236" s="477">
        <f t="shared" si="17"/>
        <v>0</v>
      </c>
      <c r="H236" s="513">
        <f>+J184*G236+E236</f>
        <v>0</v>
      </c>
      <c r="I236" s="520">
        <f>+J185*G236+E236</f>
        <v>0</v>
      </c>
      <c r="J236" s="516">
        <f t="shared" si="18"/>
        <v>0</v>
      </c>
      <c r="K236" s="516"/>
      <c r="L236" s="521"/>
      <c r="M236" s="516">
        <f t="shared" si="19"/>
        <v>0</v>
      </c>
      <c r="N236" s="521"/>
      <c r="O236" s="516">
        <f t="shared" si="20"/>
        <v>0</v>
      </c>
      <c r="P236" s="516">
        <f t="shared" si="21"/>
        <v>0</v>
      </c>
      <c r="Q236" s="479"/>
    </row>
    <row r="237" spans="3:17">
      <c r="C237" s="512">
        <f>IF(D183="","-",+C236+1)</f>
        <v>2061</v>
      </c>
      <c r="D237" s="477">
        <f t="shared" si="22"/>
        <v>0</v>
      </c>
      <c r="E237" s="519">
        <f t="shared" si="23"/>
        <v>0</v>
      </c>
      <c r="F237" s="519">
        <f t="shared" si="16"/>
        <v>0</v>
      </c>
      <c r="G237" s="477">
        <f t="shared" si="17"/>
        <v>0</v>
      </c>
      <c r="H237" s="513">
        <f>+J184*G237+E237</f>
        <v>0</v>
      </c>
      <c r="I237" s="520">
        <f>+J185*G237+E237</f>
        <v>0</v>
      </c>
      <c r="J237" s="516">
        <f t="shared" si="18"/>
        <v>0</v>
      </c>
      <c r="K237" s="516"/>
      <c r="L237" s="521"/>
      <c r="M237" s="516">
        <f t="shared" si="19"/>
        <v>0</v>
      </c>
      <c r="N237" s="521"/>
      <c r="O237" s="516">
        <f t="shared" si="20"/>
        <v>0</v>
      </c>
      <c r="P237" s="516">
        <f t="shared" si="21"/>
        <v>0</v>
      </c>
      <c r="Q237" s="479"/>
    </row>
    <row r="238" spans="3:17">
      <c r="C238" s="512">
        <f>IF(D183="","-",+C237+1)</f>
        <v>2062</v>
      </c>
      <c r="D238" s="477">
        <f t="shared" si="22"/>
        <v>0</v>
      </c>
      <c r="E238" s="519">
        <f t="shared" si="23"/>
        <v>0</v>
      </c>
      <c r="F238" s="519">
        <f t="shared" si="16"/>
        <v>0</v>
      </c>
      <c r="G238" s="477">
        <f t="shared" si="17"/>
        <v>0</v>
      </c>
      <c r="H238" s="513">
        <f>+J184*G238+E238</f>
        <v>0</v>
      </c>
      <c r="I238" s="520">
        <f>+J185*G238+E238</f>
        <v>0</v>
      </c>
      <c r="J238" s="516">
        <f t="shared" si="18"/>
        <v>0</v>
      </c>
      <c r="K238" s="516"/>
      <c r="L238" s="521"/>
      <c r="M238" s="516">
        <f t="shared" si="19"/>
        <v>0</v>
      </c>
      <c r="N238" s="521"/>
      <c r="O238" s="516">
        <f t="shared" si="20"/>
        <v>0</v>
      </c>
      <c r="P238" s="516">
        <f t="shared" si="21"/>
        <v>0</v>
      </c>
      <c r="Q238" s="479"/>
    </row>
    <row r="239" spans="3:17">
      <c r="C239" s="512">
        <f>IF(D183="","-",+C238+1)</f>
        <v>2063</v>
      </c>
      <c r="D239" s="477">
        <f t="shared" si="22"/>
        <v>0</v>
      </c>
      <c r="E239" s="519">
        <f t="shared" si="23"/>
        <v>0</v>
      </c>
      <c r="F239" s="519">
        <f t="shared" si="16"/>
        <v>0</v>
      </c>
      <c r="G239" s="477">
        <f t="shared" si="17"/>
        <v>0</v>
      </c>
      <c r="H239" s="513">
        <f>+J184*G239+E239</f>
        <v>0</v>
      </c>
      <c r="I239" s="520">
        <f>+J185*G239+E239</f>
        <v>0</v>
      </c>
      <c r="J239" s="516">
        <f t="shared" si="18"/>
        <v>0</v>
      </c>
      <c r="K239" s="516"/>
      <c r="L239" s="521"/>
      <c r="M239" s="516">
        <f t="shared" si="19"/>
        <v>0</v>
      </c>
      <c r="N239" s="521"/>
      <c r="O239" s="516">
        <f t="shared" si="20"/>
        <v>0</v>
      </c>
      <c r="P239" s="516">
        <f t="shared" si="21"/>
        <v>0</v>
      </c>
      <c r="Q239" s="479"/>
    </row>
    <row r="240" spans="3:17">
      <c r="C240" s="512">
        <f>IF(D183="","-",+C239+1)</f>
        <v>2064</v>
      </c>
      <c r="D240" s="477">
        <f t="shared" si="22"/>
        <v>0</v>
      </c>
      <c r="E240" s="519">
        <f t="shared" si="23"/>
        <v>0</v>
      </c>
      <c r="F240" s="519">
        <f t="shared" si="16"/>
        <v>0</v>
      </c>
      <c r="G240" s="477">
        <f t="shared" si="17"/>
        <v>0</v>
      </c>
      <c r="H240" s="513">
        <f>+J184*G240+E240</f>
        <v>0</v>
      </c>
      <c r="I240" s="520">
        <f>+J185*G240+E240</f>
        <v>0</v>
      </c>
      <c r="J240" s="516">
        <f t="shared" si="18"/>
        <v>0</v>
      </c>
      <c r="K240" s="516"/>
      <c r="L240" s="521"/>
      <c r="M240" s="516">
        <f t="shared" si="19"/>
        <v>0</v>
      </c>
      <c r="N240" s="521"/>
      <c r="O240" s="516">
        <f t="shared" si="20"/>
        <v>0</v>
      </c>
      <c r="P240" s="516">
        <f t="shared" si="21"/>
        <v>0</v>
      </c>
      <c r="Q240" s="479"/>
    </row>
    <row r="241" spans="3:17">
      <c r="C241" s="512">
        <f>IF(D183="","-",+C240+1)</f>
        <v>2065</v>
      </c>
      <c r="D241" s="477">
        <f t="shared" si="22"/>
        <v>0</v>
      </c>
      <c r="E241" s="519">
        <f t="shared" si="23"/>
        <v>0</v>
      </c>
      <c r="F241" s="519">
        <f t="shared" si="16"/>
        <v>0</v>
      </c>
      <c r="G241" s="477">
        <f t="shared" si="17"/>
        <v>0</v>
      </c>
      <c r="H241" s="513">
        <f>+J184*G241+E241</f>
        <v>0</v>
      </c>
      <c r="I241" s="520">
        <f>+J185*G241+E241</f>
        <v>0</v>
      </c>
      <c r="J241" s="516">
        <f t="shared" si="18"/>
        <v>0</v>
      </c>
      <c r="K241" s="516"/>
      <c r="L241" s="521"/>
      <c r="M241" s="516">
        <f t="shared" si="19"/>
        <v>0</v>
      </c>
      <c r="N241" s="521"/>
      <c r="O241" s="516">
        <f t="shared" si="20"/>
        <v>0</v>
      </c>
      <c r="P241" s="516">
        <f t="shared" si="21"/>
        <v>0</v>
      </c>
      <c r="Q241" s="479"/>
    </row>
    <row r="242" spans="3:17">
      <c r="C242" s="512">
        <f>IF(D183="","-",+C241+1)</f>
        <v>2066</v>
      </c>
      <c r="D242" s="477">
        <f t="shared" si="22"/>
        <v>0</v>
      </c>
      <c r="E242" s="519">
        <f t="shared" si="23"/>
        <v>0</v>
      </c>
      <c r="F242" s="519">
        <f t="shared" si="16"/>
        <v>0</v>
      </c>
      <c r="G242" s="477">
        <f t="shared" si="17"/>
        <v>0</v>
      </c>
      <c r="H242" s="513">
        <f>+J184*G242+E242</f>
        <v>0</v>
      </c>
      <c r="I242" s="520">
        <f>+J185*G242+E242</f>
        <v>0</v>
      </c>
      <c r="J242" s="516">
        <f t="shared" si="18"/>
        <v>0</v>
      </c>
      <c r="K242" s="516"/>
      <c r="L242" s="521"/>
      <c r="M242" s="516">
        <f t="shared" si="19"/>
        <v>0</v>
      </c>
      <c r="N242" s="521"/>
      <c r="O242" s="516">
        <f t="shared" si="20"/>
        <v>0</v>
      </c>
      <c r="P242" s="516">
        <f t="shared" si="21"/>
        <v>0</v>
      </c>
      <c r="Q242" s="479"/>
    </row>
    <row r="243" spans="3:17">
      <c r="C243" s="512">
        <f>IF(D183="","-",+C242+1)</f>
        <v>2067</v>
      </c>
      <c r="D243" s="477">
        <f t="shared" si="22"/>
        <v>0</v>
      </c>
      <c r="E243" s="519">
        <f t="shared" si="23"/>
        <v>0</v>
      </c>
      <c r="F243" s="519">
        <f t="shared" si="16"/>
        <v>0</v>
      </c>
      <c r="G243" s="477">
        <f t="shared" si="17"/>
        <v>0</v>
      </c>
      <c r="H243" s="513">
        <f>+J184*G243+E243</f>
        <v>0</v>
      </c>
      <c r="I243" s="520">
        <f>+J185*G243+E243</f>
        <v>0</v>
      </c>
      <c r="J243" s="516">
        <f t="shared" si="18"/>
        <v>0</v>
      </c>
      <c r="K243" s="516"/>
      <c r="L243" s="521"/>
      <c r="M243" s="516">
        <f t="shared" si="19"/>
        <v>0</v>
      </c>
      <c r="N243" s="521"/>
      <c r="O243" s="516">
        <f t="shared" si="20"/>
        <v>0</v>
      </c>
      <c r="P243" s="516">
        <f t="shared" si="21"/>
        <v>0</v>
      </c>
      <c r="Q243" s="479"/>
    </row>
    <row r="244" spans="3:17">
      <c r="C244" s="512">
        <f>IF(D183="","-",+C243+1)</f>
        <v>2068</v>
      </c>
      <c r="D244" s="477">
        <f t="shared" si="22"/>
        <v>0</v>
      </c>
      <c r="E244" s="519">
        <f t="shared" si="23"/>
        <v>0</v>
      </c>
      <c r="F244" s="519">
        <f t="shared" si="16"/>
        <v>0</v>
      </c>
      <c r="G244" s="477">
        <f t="shared" si="17"/>
        <v>0</v>
      </c>
      <c r="H244" s="513">
        <f>+J184*G244+E244</f>
        <v>0</v>
      </c>
      <c r="I244" s="520">
        <f>+J185*G244+E244</f>
        <v>0</v>
      </c>
      <c r="J244" s="516">
        <f t="shared" si="18"/>
        <v>0</v>
      </c>
      <c r="K244" s="516"/>
      <c r="L244" s="521"/>
      <c r="M244" s="516">
        <f t="shared" si="19"/>
        <v>0</v>
      </c>
      <c r="N244" s="521"/>
      <c r="O244" s="516">
        <f t="shared" si="20"/>
        <v>0</v>
      </c>
      <c r="P244" s="516">
        <f t="shared" si="21"/>
        <v>0</v>
      </c>
      <c r="Q244" s="479"/>
    </row>
    <row r="245" spans="3:17">
      <c r="C245" s="512">
        <f>IF(D183="","-",+C244+1)</f>
        <v>2069</v>
      </c>
      <c r="D245" s="477">
        <f t="shared" si="22"/>
        <v>0</v>
      </c>
      <c r="E245" s="519">
        <f t="shared" si="23"/>
        <v>0</v>
      </c>
      <c r="F245" s="519">
        <f t="shared" si="16"/>
        <v>0</v>
      </c>
      <c r="G245" s="477">
        <f t="shared" si="17"/>
        <v>0</v>
      </c>
      <c r="H245" s="513">
        <f>+J184*G245+E245</f>
        <v>0</v>
      </c>
      <c r="I245" s="520">
        <f>+J185*G245+E245</f>
        <v>0</v>
      </c>
      <c r="J245" s="516">
        <f t="shared" si="18"/>
        <v>0</v>
      </c>
      <c r="K245" s="516"/>
      <c r="L245" s="521"/>
      <c r="M245" s="516">
        <f t="shared" si="19"/>
        <v>0</v>
      </c>
      <c r="N245" s="521"/>
      <c r="O245" s="516">
        <f t="shared" si="20"/>
        <v>0</v>
      </c>
      <c r="P245" s="516">
        <f t="shared" si="21"/>
        <v>0</v>
      </c>
      <c r="Q245" s="479"/>
    </row>
    <row r="246" spans="3:17">
      <c r="C246" s="512">
        <f>IF(D183="","-",+C245+1)</f>
        <v>2070</v>
      </c>
      <c r="D246" s="477">
        <f t="shared" si="22"/>
        <v>0</v>
      </c>
      <c r="E246" s="519">
        <f t="shared" si="23"/>
        <v>0</v>
      </c>
      <c r="F246" s="519">
        <f t="shared" si="16"/>
        <v>0</v>
      </c>
      <c r="G246" s="477">
        <f t="shared" si="17"/>
        <v>0</v>
      </c>
      <c r="H246" s="513">
        <f>+J184*G246+E246</f>
        <v>0</v>
      </c>
      <c r="I246" s="520">
        <f>+J185*G246+E246</f>
        <v>0</v>
      </c>
      <c r="J246" s="516">
        <f t="shared" si="18"/>
        <v>0</v>
      </c>
      <c r="K246" s="516"/>
      <c r="L246" s="521"/>
      <c r="M246" s="516">
        <f t="shared" si="19"/>
        <v>0</v>
      </c>
      <c r="N246" s="521"/>
      <c r="O246" s="516">
        <f t="shared" si="20"/>
        <v>0</v>
      </c>
      <c r="P246" s="516">
        <f t="shared" si="21"/>
        <v>0</v>
      </c>
      <c r="Q246" s="479"/>
    </row>
    <row r="247" spans="3:17">
      <c r="C247" s="512">
        <f>IF(D183="","-",+C246+1)</f>
        <v>2071</v>
      </c>
      <c r="D247" s="477">
        <f t="shared" si="22"/>
        <v>0</v>
      </c>
      <c r="E247" s="519">
        <f t="shared" si="23"/>
        <v>0</v>
      </c>
      <c r="F247" s="519">
        <f t="shared" si="16"/>
        <v>0</v>
      </c>
      <c r="G247" s="477">
        <f t="shared" si="17"/>
        <v>0</v>
      </c>
      <c r="H247" s="513">
        <f>+J184*G247+E247</f>
        <v>0</v>
      </c>
      <c r="I247" s="520">
        <f>+J185*G247+E247</f>
        <v>0</v>
      </c>
      <c r="J247" s="516">
        <f t="shared" si="18"/>
        <v>0</v>
      </c>
      <c r="K247" s="516"/>
      <c r="L247" s="521"/>
      <c r="M247" s="516">
        <f t="shared" si="19"/>
        <v>0</v>
      </c>
      <c r="N247" s="521"/>
      <c r="O247" s="516">
        <f t="shared" si="20"/>
        <v>0</v>
      </c>
      <c r="P247" s="516">
        <f t="shared" si="21"/>
        <v>0</v>
      </c>
      <c r="Q247" s="479"/>
    </row>
    <row r="248" spans="3:17" ht="13.5" thickBot="1">
      <c r="C248" s="523">
        <f>IF(D183="","-",+C247+1)</f>
        <v>2072</v>
      </c>
      <c r="D248" s="524">
        <f t="shared" si="22"/>
        <v>0</v>
      </c>
      <c r="E248" s="972">
        <f t="shared" si="23"/>
        <v>0</v>
      </c>
      <c r="F248" s="525">
        <f t="shared" si="16"/>
        <v>0</v>
      </c>
      <c r="G248" s="524">
        <f t="shared" si="17"/>
        <v>0</v>
      </c>
      <c r="H248" s="526">
        <f>+J184*G248+E248</f>
        <v>0</v>
      </c>
      <c r="I248" s="526">
        <f>+J185*G248+E248</f>
        <v>0</v>
      </c>
      <c r="J248" s="527">
        <f t="shared" si="18"/>
        <v>0</v>
      </c>
      <c r="K248" s="516"/>
      <c r="L248" s="528"/>
      <c r="M248" s="527">
        <f t="shared" si="19"/>
        <v>0</v>
      </c>
      <c r="N248" s="528"/>
      <c r="O248" s="527">
        <f t="shared" si="20"/>
        <v>0</v>
      </c>
      <c r="P248" s="527">
        <f t="shared" si="21"/>
        <v>0</v>
      </c>
      <c r="Q248" s="479"/>
    </row>
    <row r="249" spans="3:17">
      <c r="C249" s="477" t="s">
        <v>289</v>
      </c>
      <c r="D249" s="475"/>
      <c r="E249" s="475">
        <f>SUM(E189:E248)</f>
        <v>585981.21</v>
      </c>
      <c r="F249" s="475"/>
      <c r="G249" s="475"/>
      <c r="H249" s="475">
        <f>SUM(H189:H248)</f>
        <v>1855351.3192683337</v>
      </c>
      <c r="I249" s="475">
        <f>SUM(I189:I248)</f>
        <v>1855351.3192683337</v>
      </c>
      <c r="J249" s="475">
        <f>SUM(J189:J248)</f>
        <v>0</v>
      </c>
      <c r="K249" s="475"/>
      <c r="L249" s="475"/>
      <c r="M249" s="475"/>
      <c r="N249" s="475"/>
      <c r="O249" s="475"/>
      <c r="Q249" s="475"/>
    </row>
    <row r="250" spans="3:17">
      <c r="D250" s="82"/>
      <c r="E250" s="4"/>
      <c r="F250" s="4"/>
      <c r="G250" s="4"/>
      <c r="H250" s="4"/>
      <c r="I250" s="460"/>
      <c r="J250" s="460"/>
      <c r="K250" s="475"/>
      <c r="L250" s="460"/>
      <c r="M250" s="460"/>
      <c r="N250" s="460"/>
      <c r="O250" s="460"/>
      <c r="Q250" s="475"/>
    </row>
    <row r="251" spans="3:17">
      <c r="C251" s="4" t="s">
        <v>596</v>
      </c>
      <c r="D251" s="82"/>
      <c r="E251" s="4"/>
      <c r="F251" s="4"/>
      <c r="G251" s="4"/>
      <c r="H251" s="4"/>
      <c r="I251" s="460"/>
      <c r="J251" s="460"/>
      <c r="K251" s="475"/>
      <c r="L251" s="460"/>
      <c r="M251" s="460"/>
      <c r="N251" s="460"/>
      <c r="O251" s="460"/>
      <c r="Q251" s="475"/>
    </row>
    <row r="252" spans="3:17">
      <c r="D252" s="82"/>
      <c r="E252" s="4"/>
      <c r="F252" s="4"/>
      <c r="G252" s="4"/>
      <c r="H252" s="4"/>
      <c r="I252" s="460"/>
      <c r="J252" s="460"/>
      <c r="K252" s="475"/>
      <c r="L252" s="460"/>
      <c r="M252" s="460"/>
      <c r="N252" s="460"/>
      <c r="O252" s="460"/>
      <c r="Q252" s="475"/>
    </row>
    <row r="253" spans="3:17">
      <c r="C253" s="4" t="s">
        <v>597</v>
      </c>
      <c r="D253" s="477"/>
      <c r="E253" s="477"/>
      <c r="F253" s="477"/>
      <c r="G253" s="477"/>
      <c r="H253" s="475"/>
      <c r="I253" s="475"/>
      <c r="J253" s="479"/>
      <c r="K253" s="479"/>
      <c r="L253" s="479"/>
      <c r="M253" s="479"/>
      <c r="N253" s="479"/>
      <c r="O253" s="479"/>
      <c r="Q253" s="479"/>
    </row>
    <row r="254" spans="3:17">
      <c r="C254" s="4" t="s">
        <v>477</v>
      </c>
      <c r="D254" s="477"/>
      <c r="E254" s="477"/>
      <c r="F254" s="477"/>
      <c r="G254" s="477"/>
      <c r="H254" s="475"/>
      <c r="I254" s="475"/>
      <c r="J254" s="479"/>
      <c r="K254" s="479"/>
      <c r="L254" s="479"/>
      <c r="M254" s="479"/>
      <c r="N254" s="479"/>
      <c r="O254" s="479"/>
      <c r="Q254" s="479"/>
    </row>
    <row r="255" spans="3:17">
      <c r="C255" s="4" t="s">
        <v>290</v>
      </c>
      <c r="D255" s="477"/>
      <c r="E255" s="477"/>
      <c r="F255" s="477"/>
      <c r="G255" s="477"/>
      <c r="H255" s="475"/>
      <c r="I255" s="475"/>
      <c r="J255" s="479"/>
      <c r="K255" s="479"/>
      <c r="L255" s="479"/>
      <c r="M255" s="479"/>
      <c r="N255" s="479"/>
      <c r="O255" s="479"/>
      <c r="Q255" s="479"/>
    </row>
    <row r="256" spans="3:17">
      <c r="C256" s="478"/>
      <c r="D256" s="477"/>
      <c r="E256" s="477"/>
      <c r="F256" s="477"/>
      <c r="G256" s="477"/>
      <c r="H256" s="475"/>
      <c r="I256" s="475"/>
      <c r="J256" s="479"/>
      <c r="K256" s="479"/>
      <c r="L256" s="479"/>
      <c r="M256" s="479"/>
      <c r="N256" s="479"/>
      <c r="O256" s="479"/>
      <c r="Q256" s="479"/>
    </row>
    <row r="257" spans="1:17" ht="20.25">
      <c r="A257" s="419" t="s">
        <v>763</v>
      </c>
      <c r="B257" s="4"/>
      <c r="C257" s="4"/>
      <c r="D257" s="82"/>
      <c r="E257" s="4"/>
      <c r="F257" s="84"/>
      <c r="G257" s="84"/>
      <c r="H257" s="4"/>
      <c r="I257" s="460"/>
      <c r="L257" s="11"/>
      <c r="M257" s="11"/>
      <c r="N257" s="11"/>
      <c r="O257" s="11" t="str">
        <f>"Page "&amp;SUM(Q$3:Q257)&amp;" of "</f>
        <v xml:space="preserve">Page 6 of </v>
      </c>
      <c r="P257" s="420">
        <f>COUNT(Q$8:Q$58123)</f>
        <v>15</v>
      </c>
      <c r="Q257" s="547">
        <v>1</v>
      </c>
    </row>
    <row r="258" spans="1:17">
      <c r="B258" s="4"/>
      <c r="C258" s="4"/>
      <c r="D258" s="82"/>
      <c r="E258" s="4"/>
      <c r="F258" s="4"/>
      <c r="G258" s="4"/>
      <c r="H258" s="4"/>
      <c r="I258" s="460"/>
      <c r="J258" s="4"/>
      <c r="K258" s="4"/>
    </row>
    <row r="259" spans="1:17" ht="18">
      <c r="B259" s="421" t="s">
        <v>175</v>
      </c>
      <c r="C259" s="480" t="s">
        <v>291</v>
      </c>
      <c r="D259" s="82"/>
      <c r="E259" s="4"/>
      <c r="F259" s="4"/>
      <c r="G259" s="4"/>
      <c r="H259" s="4"/>
      <c r="I259" s="460"/>
      <c r="J259" s="460"/>
      <c r="K259" s="475"/>
      <c r="L259" s="460"/>
      <c r="M259" s="460"/>
      <c r="N259" s="460"/>
      <c r="O259" s="460"/>
      <c r="Q259" s="475"/>
    </row>
    <row r="260" spans="1:17" ht="18.75">
      <c r="B260" s="421"/>
      <c r="C260" s="13"/>
      <c r="D260" s="82"/>
      <c r="E260" s="4"/>
      <c r="F260" s="4"/>
      <c r="G260" s="4"/>
      <c r="H260" s="4"/>
      <c r="I260" s="460"/>
      <c r="J260" s="460"/>
      <c r="K260" s="475"/>
      <c r="L260" s="460"/>
      <c r="M260" s="460"/>
      <c r="N260" s="460"/>
      <c r="O260" s="460"/>
      <c r="Q260" s="475"/>
    </row>
    <row r="261" spans="1:17" ht="18.75">
      <c r="B261" s="421"/>
      <c r="C261" s="13" t="s">
        <v>292</v>
      </c>
      <c r="D261" s="82"/>
      <c r="E261" s="4"/>
      <c r="F261" s="4"/>
      <c r="G261" s="4"/>
      <c r="H261" s="4"/>
      <c r="I261" s="460"/>
      <c r="J261" s="460"/>
      <c r="K261" s="475"/>
      <c r="L261" s="460"/>
      <c r="M261" s="460"/>
      <c r="N261" s="460"/>
      <c r="O261" s="460"/>
      <c r="Q261" s="475"/>
    </row>
    <row r="262" spans="1:17" ht="15.75" thickBot="1">
      <c r="C262" s="254"/>
      <c r="D262" s="82"/>
      <c r="E262" s="4"/>
      <c r="F262" s="4"/>
      <c r="G262" s="4"/>
      <c r="H262" s="4"/>
      <c r="I262" s="460"/>
      <c r="J262" s="460"/>
      <c r="K262" s="475"/>
      <c r="L262" s="460"/>
      <c r="M262" s="460"/>
      <c r="N262" s="460"/>
      <c r="O262" s="460"/>
      <c r="Q262" s="475"/>
    </row>
    <row r="263" spans="1:17" ht="15.75">
      <c r="C263" s="422" t="s">
        <v>293</v>
      </c>
      <c r="D263" s="82"/>
      <c r="E263" s="4"/>
      <c r="F263" s="4"/>
      <c r="G263" s="4"/>
      <c r="H263" s="645"/>
      <c r="I263" s="4" t="s">
        <v>272</v>
      </c>
      <c r="J263" s="4"/>
      <c r="K263" s="4"/>
      <c r="L263" s="548">
        <f>+J269</f>
        <v>2025</v>
      </c>
      <c r="M263" s="532" t="s">
        <v>255</v>
      </c>
      <c r="N263" s="532" t="s">
        <v>256</v>
      </c>
      <c r="O263" s="533" t="s">
        <v>257</v>
      </c>
    </row>
    <row r="264" spans="1:17" ht="15.75">
      <c r="C264" s="422"/>
      <c r="D264" s="82"/>
      <c r="E264" s="4"/>
      <c r="F264" s="4"/>
      <c r="H264" s="4"/>
      <c r="I264" s="484"/>
      <c r="J264" s="484"/>
      <c r="K264" s="485"/>
      <c r="L264" s="549" t="s">
        <v>456</v>
      </c>
      <c r="M264" s="550">
        <f>VLOOKUP(J269,C276:P335,10)</f>
        <v>2340535.8588200537</v>
      </c>
      <c r="N264" s="550">
        <f>VLOOKUP(J269,C276:P335,12)</f>
        <v>2340535.8588200537</v>
      </c>
      <c r="O264" s="551">
        <f>+N264-M264</f>
        <v>0</v>
      </c>
      <c r="Q264" s="485"/>
    </row>
    <row r="265" spans="1:17" ht="12.95" customHeight="1">
      <c r="C265" s="487" t="s">
        <v>294</v>
      </c>
      <c r="D265" s="1274" t="s">
        <v>934</v>
      </c>
      <c r="E265" s="1274"/>
      <c r="F265" s="1274"/>
      <c r="G265" s="1274"/>
      <c r="H265" s="1274"/>
      <c r="I265" s="1274"/>
      <c r="J265" s="460"/>
      <c r="K265" s="475"/>
      <c r="L265" s="549" t="s">
        <v>457</v>
      </c>
      <c r="M265" s="552">
        <f>VLOOKUP(J269,C276:P335,6)</f>
        <v>2236037.227575941</v>
      </c>
      <c r="N265" s="552">
        <f>VLOOKUP(J269,C276:P335,7)</f>
        <v>2236037.227575941</v>
      </c>
      <c r="O265" s="553">
        <f>+N265-M265</f>
        <v>0</v>
      </c>
      <c r="Q265" s="475"/>
    </row>
    <row r="266" spans="1:17" ht="13.5" thickBot="1">
      <c r="C266" s="489"/>
      <c r="D266" s="1274"/>
      <c r="E266" s="1274"/>
      <c r="F266" s="1274"/>
      <c r="G266" s="1274"/>
      <c r="H266" s="1274"/>
      <c r="I266" s="1274"/>
      <c r="J266" s="460"/>
      <c r="K266" s="475"/>
      <c r="L266" s="499" t="s">
        <v>458</v>
      </c>
      <c r="M266" s="554">
        <f>+M265-M264</f>
        <v>-104498.63124411274</v>
      </c>
      <c r="N266" s="554">
        <f>+N265-N264</f>
        <v>-104498.63124411274</v>
      </c>
      <c r="O266" s="555">
        <f>+O265-O264</f>
        <v>0</v>
      </c>
      <c r="Q266" s="475"/>
    </row>
    <row r="267" spans="1:17" ht="13.5" thickBot="1">
      <c r="C267" s="489"/>
      <c r="D267" s="4"/>
      <c r="E267" s="490"/>
      <c r="F267" s="490"/>
      <c r="G267" s="490"/>
      <c r="H267" s="490"/>
      <c r="I267" s="490"/>
      <c r="J267" s="490"/>
      <c r="K267" s="490"/>
      <c r="L267" s="490"/>
      <c r="M267" s="490"/>
      <c r="N267" s="490"/>
      <c r="O267" s="490"/>
      <c r="Q267" s="490"/>
    </row>
    <row r="268" spans="1:17" ht="13.5" thickBot="1">
      <c r="C268" s="491" t="s">
        <v>295</v>
      </c>
      <c r="D268" s="492"/>
      <c r="E268" s="492"/>
      <c r="F268" s="492"/>
      <c r="G268" s="492"/>
      <c r="H268" s="492"/>
      <c r="I268" s="492"/>
      <c r="J268" s="492"/>
      <c r="Q268"/>
    </row>
    <row r="269" spans="1:17" ht="15">
      <c r="A269" s="978"/>
      <c r="C269" s="494" t="s">
        <v>273</v>
      </c>
      <c r="D269" s="646">
        <v>21957101.479999997</v>
      </c>
      <c r="E269" s="4" t="s">
        <v>274</v>
      </c>
      <c r="H269" s="82"/>
      <c r="I269" s="82"/>
      <c r="J269" s="495">
        <f>$J$95</f>
        <v>2025</v>
      </c>
      <c r="K269" s="138"/>
      <c r="L269" s="1284" t="s">
        <v>275</v>
      </c>
      <c r="M269" s="1284"/>
      <c r="N269" s="1284"/>
      <c r="O269" s="1284"/>
      <c r="Q269" s="138"/>
    </row>
    <row r="270" spans="1:17">
      <c r="A270" s="978"/>
      <c r="C270" s="494" t="s">
        <v>276</v>
      </c>
      <c r="D270" s="656">
        <v>2013</v>
      </c>
      <c r="E270" s="494" t="s">
        <v>277</v>
      </c>
      <c r="F270" s="82"/>
      <c r="G270" s="82"/>
      <c r="I270"/>
      <c r="J270" s="650">
        <v>0</v>
      </c>
      <c r="K270" s="496"/>
      <c r="L270" s="475" t="s">
        <v>476</v>
      </c>
      <c r="Q270" s="496"/>
    </row>
    <row r="271" spans="1:17">
      <c r="A271" s="978"/>
      <c r="C271" s="494" t="s">
        <v>278</v>
      </c>
      <c r="D271" s="648">
        <v>4</v>
      </c>
      <c r="E271" s="494" t="s">
        <v>279</v>
      </c>
      <c r="F271" s="82"/>
      <c r="G271" s="82"/>
      <c r="I271"/>
      <c r="J271" s="497">
        <f>$F$70</f>
        <v>0.11108872081308177</v>
      </c>
      <c r="K271" s="84"/>
      <c r="L271" s="4" t="str">
        <f>"          INPUT TRUE-UP ARR (WITH &amp; WITHOUT INCENTIVES) FROM EACH PRIOR YEAR"</f>
        <v xml:space="preserve">          INPUT TRUE-UP ARR (WITH &amp; WITHOUT INCENTIVES) FROM EACH PRIOR YEAR</v>
      </c>
      <c r="Q271" s="84"/>
    </row>
    <row r="272" spans="1:17">
      <c r="A272" s="978"/>
      <c r="C272" s="494" t="s">
        <v>280</v>
      </c>
      <c r="D272" s="498">
        <f>H79</f>
        <v>38</v>
      </c>
      <c r="E272" s="494" t="s">
        <v>281</v>
      </c>
      <c r="F272" s="82"/>
      <c r="G272" s="82"/>
      <c r="I272"/>
      <c r="J272" s="497">
        <f>IF(H263="",J271,$F$69)</f>
        <v>0.11108872081308177</v>
      </c>
      <c r="K272" s="84"/>
      <c r="L272" s="4" t="s">
        <v>363</v>
      </c>
      <c r="M272" s="84"/>
      <c r="N272" s="84"/>
      <c r="O272" s="84"/>
      <c r="Q272" s="84"/>
    </row>
    <row r="273" spans="1:17" ht="13.5" thickBot="1">
      <c r="A273" s="978"/>
      <c r="C273" s="494" t="s">
        <v>282</v>
      </c>
      <c r="D273" s="649" t="s">
        <v>930</v>
      </c>
      <c r="E273" s="499" t="s">
        <v>283</v>
      </c>
      <c r="F273" s="500"/>
      <c r="G273" s="500"/>
      <c r="H273" s="501"/>
      <c r="I273" s="501"/>
      <c r="J273" s="488">
        <f>IF(D269=0,0,D269/D272)</f>
        <v>577818.46</v>
      </c>
      <c r="K273" s="475"/>
      <c r="L273" s="475" t="s">
        <v>364</v>
      </c>
      <c r="M273" s="475"/>
      <c r="N273" s="475"/>
      <c r="O273" s="475"/>
      <c r="Q273" s="475"/>
    </row>
    <row r="274" spans="1:17" ht="38.25">
      <c r="A274" s="12"/>
      <c r="B274" s="12"/>
      <c r="C274" s="502" t="s">
        <v>273</v>
      </c>
      <c r="D274" s="503" t="s">
        <v>284</v>
      </c>
      <c r="E274" s="504" t="s">
        <v>285</v>
      </c>
      <c r="F274" s="503" t="s">
        <v>286</v>
      </c>
      <c r="G274" s="503" t="s">
        <v>459</v>
      </c>
      <c r="H274" s="504" t="s">
        <v>357</v>
      </c>
      <c r="I274" s="505" t="s">
        <v>357</v>
      </c>
      <c r="J274" s="502" t="s">
        <v>296</v>
      </c>
      <c r="K274" s="506"/>
      <c r="L274" s="504" t="s">
        <v>359</v>
      </c>
      <c r="M274" s="504" t="s">
        <v>365</v>
      </c>
      <c r="N274" s="504" t="s">
        <v>359</v>
      </c>
      <c r="O274" s="504" t="s">
        <v>367</v>
      </c>
      <c r="P274" s="504" t="s">
        <v>287</v>
      </c>
      <c r="Q274" s="131"/>
    </row>
    <row r="275" spans="1:17" ht="13.5" thickBot="1">
      <c r="C275" s="507" t="s">
        <v>178</v>
      </c>
      <c r="D275" s="508" t="s">
        <v>179</v>
      </c>
      <c r="E275" s="507" t="s">
        <v>38</v>
      </c>
      <c r="F275" s="508" t="s">
        <v>179</v>
      </c>
      <c r="G275" s="508" t="s">
        <v>179</v>
      </c>
      <c r="H275" s="509" t="s">
        <v>299</v>
      </c>
      <c r="I275" s="510" t="s">
        <v>301</v>
      </c>
      <c r="J275" s="507" t="s">
        <v>390</v>
      </c>
      <c r="K275" s="511"/>
      <c r="L275" s="509" t="s">
        <v>288</v>
      </c>
      <c r="M275" s="509" t="s">
        <v>288</v>
      </c>
      <c r="N275" s="509" t="s">
        <v>468</v>
      </c>
      <c r="O275" s="509" t="s">
        <v>468</v>
      </c>
      <c r="P275" s="509" t="s">
        <v>468</v>
      </c>
      <c r="Q275" s="138"/>
    </row>
    <row r="276" spans="1:17">
      <c r="C276" s="512">
        <f>IF(D270= "","-",D270)</f>
        <v>2013</v>
      </c>
      <c r="D276" s="477">
        <f>+D269</f>
        <v>21957101.479999997</v>
      </c>
      <c r="E276" s="513">
        <f>+J273/12*(12-D271)</f>
        <v>385212.30666666664</v>
      </c>
      <c r="F276" s="556">
        <f t="shared" ref="F276:F335" si="24">+D276-E276</f>
        <v>21571889.173333332</v>
      </c>
      <c r="G276" s="477">
        <f t="shared" ref="G276:G335" si="25">+(D276+F276)/2</f>
        <v>21764495.326666664</v>
      </c>
      <c r="H276" s="514">
        <f>+J271*G276+E276</f>
        <v>2803002.2516483627</v>
      </c>
      <c r="I276" s="515">
        <f>+J272*G276+E276</f>
        <v>2803002.2516483627</v>
      </c>
      <c r="J276" s="516">
        <f t="shared" ref="J276:J335" si="26">+I276-H276</f>
        <v>0</v>
      </c>
      <c r="K276" s="516"/>
      <c r="L276" s="517">
        <v>1301059</v>
      </c>
      <c r="M276" s="557">
        <f t="shared" ref="M276:M335" si="27">IF(L276&lt;&gt;0,+H276-L276,0)</f>
        <v>1501943.2516483627</v>
      </c>
      <c r="N276" s="517">
        <v>1301059</v>
      </c>
      <c r="O276" s="557">
        <f t="shared" ref="O276:O335" si="28">IF(N276&lt;&gt;0,+I276-N276,0)</f>
        <v>1501943.2516483627</v>
      </c>
      <c r="P276" s="557">
        <f t="shared" ref="P276:P335" si="29">+O276-M276</f>
        <v>0</v>
      </c>
      <c r="Q276" s="479"/>
    </row>
    <row r="277" spans="1:17">
      <c r="C277" s="512">
        <f>IF(D270="","-",+C276+1)</f>
        <v>2014</v>
      </c>
      <c r="D277" s="477">
        <f t="shared" ref="D277:D335" si="30">F276</f>
        <v>21571889.173333332</v>
      </c>
      <c r="E277" s="519">
        <f>IF(D277&gt;$J$273,$J$273,D277)</f>
        <v>577818.46</v>
      </c>
      <c r="F277" s="519">
        <f t="shared" si="24"/>
        <v>20994070.713333331</v>
      </c>
      <c r="G277" s="477">
        <f t="shared" si="25"/>
        <v>21282979.943333331</v>
      </c>
      <c r="H277" s="513">
        <f>+J271*G277+E277</f>
        <v>2942117.4769953755</v>
      </c>
      <c r="I277" s="520">
        <f>+J272*G277+E277</f>
        <v>2942117.4769953755</v>
      </c>
      <c r="J277" s="516">
        <f t="shared" si="26"/>
        <v>0</v>
      </c>
      <c r="K277" s="516"/>
      <c r="L277" s="521">
        <v>3243481</v>
      </c>
      <c r="M277" s="516">
        <f t="shared" si="27"/>
        <v>-301363.52300462453</v>
      </c>
      <c r="N277" s="521">
        <v>3243481</v>
      </c>
      <c r="O277" s="516">
        <f t="shared" si="28"/>
        <v>-301363.52300462453</v>
      </c>
      <c r="P277" s="516">
        <f t="shared" si="29"/>
        <v>0</v>
      </c>
      <c r="Q277" s="479"/>
    </row>
    <row r="278" spans="1:17">
      <c r="C278" s="512">
        <f>IF(D270="","-",+C277+1)</f>
        <v>2015</v>
      </c>
      <c r="D278" s="477">
        <f t="shared" si="30"/>
        <v>20994070.713333331</v>
      </c>
      <c r="E278" s="519">
        <f t="shared" ref="E278:E335" si="31">IF(D278&gt;$J$273,$J$273,D278)</f>
        <v>577818.46</v>
      </c>
      <c r="F278" s="519">
        <f t="shared" si="24"/>
        <v>20416252.25333333</v>
      </c>
      <c r="G278" s="477">
        <f t="shared" si="25"/>
        <v>20705161.483333331</v>
      </c>
      <c r="H278" s="513">
        <f>+J271*G278+E278</f>
        <v>2877928.3634117902</v>
      </c>
      <c r="I278" s="520">
        <f>+J272*G278+E278</f>
        <v>2877928.3634117902</v>
      </c>
      <c r="J278" s="516">
        <f t="shared" si="26"/>
        <v>0</v>
      </c>
      <c r="K278" s="516"/>
      <c r="L278" s="521">
        <v>3604460</v>
      </c>
      <c r="M278" s="516">
        <f t="shared" si="27"/>
        <v>-726531.63658820977</v>
      </c>
      <c r="N278" s="521">
        <v>3604460</v>
      </c>
      <c r="O278" s="516">
        <f t="shared" si="28"/>
        <v>-726531.63658820977</v>
      </c>
      <c r="P278" s="516">
        <f t="shared" si="29"/>
        <v>0</v>
      </c>
      <c r="Q278" s="479"/>
    </row>
    <row r="279" spans="1:17">
      <c r="C279" s="512">
        <f>IF(D270="","-",+C278+1)</f>
        <v>2016</v>
      </c>
      <c r="D279" s="477">
        <f t="shared" si="30"/>
        <v>20416252.25333333</v>
      </c>
      <c r="E279" s="519">
        <f t="shared" si="31"/>
        <v>577818.46</v>
      </c>
      <c r="F279" s="519">
        <f t="shared" si="24"/>
        <v>19838433.793333329</v>
      </c>
      <c r="G279" s="477">
        <f t="shared" si="25"/>
        <v>20127343.02333333</v>
      </c>
      <c r="H279" s="513">
        <f>+J271*G279+E279</f>
        <v>2813739.2498282054</v>
      </c>
      <c r="I279" s="520">
        <f>+J272*G279+E279</f>
        <v>2813739.2498282054</v>
      </c>
      <c r="J279" s="516">
        <f t="shared" si="26"/>
        <v>0</v>
      </c>
      <c r="K279" s="516"/>
      <c r="L279" s="521">
        <v>3506792</v>
      </c>
      <c r="M279" s="516">
        <f t="shared" si="27"/>
        <v>-693052.75017179456</v>
      </c>
      <c r="N279" s="521">
        <v>3506792</v>
      </c>
      <c r="O279" s="516">
        <f t="shared" si="28"/>
        <v>-693052.75017179456</v>
      </c>
      <c r="P279" s="516">
        <f t="shared" si="29"/>
        <v>0</v>
      </c>
      <c r="Q279" s="479"/>
    </row>
    <row r="280" spans="1:17">
      <c r="C280" s="512">
        <f>IF(D270="","-",+C279+1)</f>
        <v>2017</v>
      </c>
      <c r="D280" s="477">
        <f t="shared" si="30"/>
        <v>19838433.793333329</v>
      </c>
      <c r="E280" s="519">
        <f t="shared" si="31"/>
        <v>577818.46</v>
      </c>
      <c r="F280" s="519">
        <f t="shared" si="24"/>
        <v>19260615.333333328</v>
      </c>
      <c r="G280" s="477">
        <f t="shared" si="25"/>
        <v>19549524.563333329</v>
      </c>
      <c r="H280" s="513">
        <f>+J271*G280+E280</f>
        <v>2749550.1362446207</v>
      </c>
      <c r="I280" s="520">
        <f>+J272*G280+E280</f>
        <v>2749550.1362446207</v>
      </c>
      <c r="J280" s="516">
        <f t="shared" si="26"/>
        <v>0</v>
      </c>
      <c r="K280" s="516"/>
      <c r="L280" s="521">
        <v>3162406</v>
      </c>
      <c r="M280" s="516">
        <f t="shared" si="27"/>
        <v>-412855.86375537934</v>
      </c>
      <c r="N280" s="521">
        <v>3162406</v>
      </c>
      <c r="O280" s="516">
        <f t="shared" si="28"/>
        <v>-412855.86375537934</v>
      </c>
      <c r="P280" s="516">
        <f t="shared" si="29"/>
        <v>0</v>
      </c>
      <c r="Q280" s="479"/>
    </row>
    <row r="281" spans="1:17">
      <c r="C281" s="512">
        <f>IF(D270="","-",+C280+1)</f>
        <v>2018</v>
      </c>
      <c r="D281" s="477">
        <f t="shared" si="30"/>
        <v>19260615.333333328</v>
      </c>
      <c r="E281" s="519">
        <f t="shared" si="31"/>
        <v>577818.46</v>
      </c>
      <c r="F281" s="519">
        <f t="shared" si="24"/>
        <v>18682796.873333327</v>
      </c>
      <c r="G281" s="477">
        <f t="shared" si="25"/>
        <v>18971706.103333328</v>
      </c>
      <c r="H281" s="513">
        <f>+J271*G281+E281</f>
        <v>2685361.0226610354</v>
      </c>
      <c r="I281" s="520">
        <f>+J272*G281+E281</f>
        <v>2685361.0226610354</v>
      </c>
      <c r="J281" s="516">
        <f t="shared" si="26"/>
        <v>0</v>
      </c>
      <c r="K281" s="516"/>
      <c r="L281" s="521">
        <v>2623914</v>
      </c>
      <c r="M281" s="516">
        <f t="shared" si="27"/>
        <v>61447.022661035415</v>
      </c>
      <c r="N281" s="521">
        <v>2623914</v>
      </c>
      <c r="O281" s="516">
        <f t="shared" si="28"/>
        <v>61447.022661035415</v>
      </c>
      <c r="P281" s="516">
        <f t="shared" si="29"/>
        <v>0</v>
      </c>
      <c r="Q281" s="479"/>
    </row>
    <row r="282" spans="1:17">
      <c r="C282" s="512">
        <f>IF(D270="","-",+C281+1)</f>
        <v>2019</v>
      </c>
      <c r="D282" s="477">
        <f t="shared" si="30"/>
        <v>18682796.873333327</v>
      </c>
      <c r="E282" s="519">
        <f t="shared" si="31"/>
        <v>577818.46</v>
      </c>
      <c r="F282" s="519">
        <f t="shared" si="24"/>
        <v>18104978.413333327</v>
      </c>
      <c r="G282" s="477">
        <f t="shared" si="25"/>
        <v>18393887.643333327</v>
      </c>
      <c r="H282" s="513">
        <f>+J271*G282+E282</f>
        <v>2621171.9090774506</v>
      </c>
      <c r="I282" s="520">
        <f>+J272*G282+E282</f>
        <v>2621171.9090774506</v>
      </c>
      <c r="J282" s="516">
        <f t="shared" si="26"/>
        <v>0</v>
      </c>
      <c r="K282" s="516"/>
      <c r="L282" s="521">
        <v>2433872.9423121419</v>
      </c>
      <c r="M282" s="516">
        <f t="shared" si="27"/>
        <v>187298.96676530875</v>
      </c>
      <c r="N282" s="521">
        <v>2433872.9423121419</v>
      </c>
      <c r="O282" s="516">
        <f t="shared" si="28"/>
        <v>187298.96676530875</v>
      </c>
      <c r="P282" s="516">
        <f t="shared" si="29"/>
        <v>0</v>
      </c>
      <c r="Q282" s="479"/>
    </row>
    <row r="283" spans="1:17">
      <c r="C283" s="512">
        <f>IF(D270="","-",+C282+1)</f>
        <v>2020</v>
      </c>
      <c r="D283" s="477">
        <f t="shared" si="30"/>
        <v>18104978.413333327</v>
      </c>
      <c r="E283" s="519">
        <f t="shared" si="31"/>
        <v>577818.46</v>
      </c>
      <c r="F283" s="519">
        <f t="shared" si="24"/>
        <v>17527159.953333326</v>
      </c>
      <c r="G283" s="477">
        <f t="shared" si="25"/>
        <v>17816069.183333326</v>
      </c>
      <c r="H283" s="513">
        <f>+J271*G283+E283</f>
        <v>2556982.7954938654</v>
      </c>
      <c r="I283" s="520">
        <f>+J272*G283+E283</f>
        <v>2556982.7954938654</v>
      </c>
      <c r="J283" s="516">
        <f t="shared" si="26"/>
        <v>0</v>
      </c>
      <c r="K283" s="516"/>
      <c r="L283" s="521">
        <v>2310007.1446601301</v>
      </c>
      <c r="M283" s="516">
        <f t="shared" si="27"/>
        <v>246975.65083373524</v>
      </c>
      <c r="N283" s="521">
        <v>2310007.1446601301</v>
      </c>
      <c r="O283" s="516">
        <f t="shared" si="28"/>
        <v>246975.65083373524</v>
      </c>
      <c r="P283" s="516">
        <f t="shared" si="29"/>
        <v>0</v>
      </c>
      <c r="Q283" s="479"/>
    </row>
    <row r="284" spans="1:17">
      <c r="C284" s="512">
        <f>IF(D270="","-",+C283+1)</f>
        <v>2021</v>
      </c>
      <c r="D284" s="477">
        <f t="shared" si="30"/>
        <v>17527159.953333326</v>
      </c>
      <c r="E284" s="519">
        <f t="shared" si="31"/>
        <v>577818.46</v>
      </c>
      <c r="F284" s="519">
        <f t="shared" si="24"/>
        <v>16949341.493333325</v>
      </c>
      <c r="G284" s="477">
        <f t="shared" si="25"/>
        <v>17238250.723333325</v>
      </c>
      <c r="H284" s="513">
        <f>+J271*G284+E284</f>
        <v>2492793.6819102806</v>
      </c>
      <c r="I284" s="520">
        <f>+J272*G284+E284</f>
        <v>2492793.6819102806</v>
      </c>
      <c r="J284" s="516">
        <f t="shared" si="26"/>
        <v>0</v>
      </c>
      <c r="K284" s="516"/>
      <c r="L284" s="521">
        <v>2278397.9465958402</v>
      </c>
      <c r="M284" s="516">
        <f t="shared" si="27"/>
        <v>214395.73531444045</v>
      </c>
      <c r="N284" s="521">
        <v>2278397.9465958402</v>
      </c>
      <c r="O284" s="516">
        <f t="shared" si="28"/>
        <v>214395.73531444045</v>
      </c>
      <c r="P284" s="516">
        <f t="shared" si="29"/>
        <v>0</v>
      </c>
      <c r="Q284" s="479"/>
    </row>
    <row r="285" spans="1:17">
      <c r="C285" s="512">
        <f>IF(D270="","-",+C284+1)</f>
        <v>2022</v>
      </c>
      <c r="D285" s="477">
        <f t="shared" si="30"/>
        <v>16949341.493333325</v>
      </c>
      <c r="E285" s="519">
        <f t="shared" si="31"/>
        <v>577818.46</v>
      </c>
      <c r="F285" s="519">
        <f t="shared" si="24"/>
        <v>16371523.033333324</v>
      </c>
      <c r="G285" s="477">
        <f t="shared" si="25"/>
        <v>16660432.263333324</v>
      </c>
      <c r="H285" s="513">
        <f>+J271*G285+E285</f>
        <v>2428604.5683266958</v>
      </c>
      <c r="I285" s="520">
        <f>+J272*G285+E285</f>
        <v>2428604.5683266958</v>
      </c>
      <c r="J285" s="516">
        <f t="shared" si="26"/>
        <v>0</v>
      </c>
      <c r="K285" s="516"/>
      <c r="L285" s="521">
        <v>2308748.3791163582</v>
      </c>
      <c r="M285" s="516">
        <f t="shared" si="27"/>
        <v>119856.18921033759</v>
      </c>
      <c r="N285" s="521">
        <v>2308748.3791163582</v>
      </c>
      <c r="O285" s="516">
        <f t="shared" si="28"/>
        <v>119856.18921033759</v>
      </c>
      <c r="P285" s="516">
        <f t="shared" si="29"/>
        <v>0</v>
      </c>
      <c r="Q285" s="479"/>
    </row>
    <row r="286" spans="1:17">
      <c r="C286" s="512">
        <f>IF(D270="","-",+C285+1)</f>
        <v>2023</v>
      </c>
      <c r="D286" s="477">
        <f t="shared" si="30"/>
        <v>16371523.033333324</v>
      </c>
      <c r="E286" s="519">
        <f t="shared" si="31"/>
        <v>577818.46</v>
      </c>
      <c r="F286" s="519">
        <f t="shared" si="24"/>
        <v>15793704.573333323</v>
      </c>
      <c r="G286" s="477">
        <f t="shared" si="25"/>
        <v>16082613.803333323</v>
      </c>
      <c r="H286" s="513">
        <f>+J271*G286+E286</f>
        <v>2364415.4547431106</v>
      </c>
      <c r="I286" s="520">
        <f>+J272*G286+E286</f>
        <v>2364415.4547431106</v>
      </c>
      <c r="J286" s="516">
        <f t="shared" si="26"/>
        <v>0</v>
      </c>
      <c r="K286" s="516"/>
      <c r="L286" s="521">
        <v>2447063.658699309</v>
      </c>
      <c r="M286" s="516">
        <f t="shared" si="27"/>
        <v>-82648.203956198413</v>
      </c>
      <c r="N286" s="521">
        <v>2447063.658699309</v>
      </c>
      <c r="O286" s="516">
        <f t="shared" si="28"/>
        <v>-82648.203956198413</v>
      </c>
      <c r="P286" s="516">
        <f t="shared" si="29"/>
        <v>0</v>
      </c>
      <c r="Q286" s="479"/>
    </row>
    <row r="287" spans="1:17">
      <c r="C287" s="512">
        <f>IF(D270="","-",+C286+1)</f>
        <v>2024</v>
      </c>
      <c r="D287" s="477">
        <f t="shared" si="30"/>
        <v>15793704.573333323</v>
      </c>
      <c r="E287" s="519">
        <f t="shared" si="31"/>
        <v>577818.46</v>
      </c>
      <c r="F287" s="519">
        <f t="shared" si="24"/>
        <v>15215886.113333322</v>
      </c>
      <c r="G287" s="477">
        <f t="shared" si="25"/>
        <v>15504795.343333323</v>
      </c>
      <c r="H287" s="513">
        <f>+J271*G287+E287</f>
        <v>2300226.3411595258</v>
      </c>
      <c r="I287" s="520">
        <f>+J272*G287+E287</f>
        <v>2300226.3411595258</v>
      </c>
      <c r="J287" s="516">
        <f t="shared" si="26"/>
        <v>0</v>
      </c>
      <c r="K287" s="516"/>
      <c r="L287" s="521">
        <v>2455322.5957896682</v>
      </c>
      <c r="M287" s="516">
        <f t="shared" si="27"/>
        <v>-155096.25463014236</v>
      </c>
      <c r="N287" s="521">
        <v>2455322.5957896682</v>
      </c>
      <c r="O287" s="516">
        <f t="shared" si="28"/>
        <v>-155096.25463014236</v>
      </c>
      <c r="P287" s="516">
        <f t="shared" si="29"/>
        <v>0</v>
      </c>
      <c r="Q287" s="479"/>
    </row>
    <row r="288" spans="1:17">
      <c r="C288" s="512">
        <f>IF(D270="","-",+C287+1)</f>
        <v>2025</v>
      </c>
      <c r="D288" s="477">
        <f t="shared" si="30"/>
        <v>15215886.113333322</v>
      </c>
      <c r="E288" s="519">
        <f t="shared" si="31"/>
        <v>577818.46</v>
      </c>
      <c r="F288" s="519">
        <f t="shared" si="24"/>
        <v>14638067.653333321</v>
      </c>
      <c r="G288" s="477">
        <f t="shared" si="25"/>
        <v>14926976.883333322</v>
      </c>
      <c r="H288" s="513">
        <f>+J271*G288+E288</f>
        <v>2236037.227575941</v>
      </c>
      <c r="I288" s="520">
        <f>+J272*G288+E288</f>
        <v>2236037.227575941</v>
      </c>
      <c r="J288" s="516">
        <f t="shared" si="26"/>
        <v>0</v>
      </c>
      <c r="K288" s="516"/>
      <c r="L288" s="521">
        <v>2340535.8588200537</v>
      </c>
      <c r="M288" s="516">
        <f t="shared" si="27"/>
        <v>-104498.63124411274</v>
      </c>
      <c r="N288" s="521">
        <v>2340535.8588200537</v>
      </c>
      <c r="O288" s="516">
        <f t="shared" si="28"/>
        <v>-104498.63124411274</v>
      </c>
      <c r="P288" s="516">
        <f t="shared" si="29"/>
        <v>0</v>
      </c>
      <c r="Q288" s="479"/>
    </row>
    <row r="289" spans="3:17">
      <c r="C289" s="512">
        <f>IF(D270="","-",+C288+1)</f>
        <v>2026</v>
      </c>
      <c r="D289" s="477">
        <f t="shared" si="30"/>
        <v>14638067.653333321</v>
      </c>
      <c r="E289" s="519">
        <f t="shared" si="31"/>
        <v>577818.46</v>
      </c>
      <c r="F289" s="519">
        <f t="shared" si="24"/>
        <v>14060249.19333332</v>
      </c>
      <c r="G289" s="477">
        <f t="shared" si="25"/>
        <v>14349158.423333321</v>
      </c>
      <c r="H289" s="513">
        <f>+J271*G289+E289</f>
        <v>2171848.1139923558</v>
      </c>
      <c r="I289" s="520">
        <f>+J272*G289+E289</f>
        <v>2171848.1139923558</v>
      </c>
      <c r="J289" s="516">
        <f t="shared" si="26"/>
        <v>0</v>
      </c>
      <c r="K289" s="516"/>
      <c r="L289" s="521"/>
      <c r="M289" s="516">
        <f t="shared" si="27"/>
        <v>0</v>
      </c>
      <c r="N289" s="521"/>
      <c r="O289" s="516">
        <f t="shared" si="28"/>
        <v>0</v>
      </c>
      <c r="P289" s="516">
        <f t="shared" si="29"/>
        <v>0</v>
      </c>
      <c r="Q289" s="479"/>
    </row>
    <row r="290" spans="3:17">
      <c r="C290" s="512">
        <f>IF(D270="","-",+C289+1)</f>
        <v>2027</v>
      </c>
      <c r="D290" s="477">
        <f t="shared" si="30"/>
        <v>14060249.19333332</v>
      </c>
      <c r="E290" s="519">
        <f t="shared" si="31"/>
        <v>577818.46</v>
      </c>
      <c r="F290" s="519">
        <f t="shared" si="24"/>
        <v>13482430.733333319</v>
      </c>
      <c r="G290" s="477">
        <f t="shared" si="25"/>
        <v>13771339.96333332</v>
      </c>
      <c r="H290" s="513">
        <f>+J271*G290+E290</f>
        <v>2107659.000408771</v>
      </c>
      <c r="I290" s="520">
        <f>+J272*G290+E290</f>
        <v>2107659.000408771</v>
      </c>
      <c r="J290" s="516">
        <f t="shared" si="26"/>
        <v>0</v>
      </c>
      <c r="K290" s="516"/>
      <c r="L290" s="521"/>
      <c r="M290" s="516">
        <f t="shared" si="27"/>
        <v>0</v>
      </c>
      <c r="N290" s="521"/>
      <c r="O290" s="516">
        <f t="shared" si="28"/>
        <v>0</v>
      </c>
      <c r="P290" s="516">
        <f t="shared" si="29"/>
        <v>0</v>
      </c>
      <c r="Q290" s="479"/>
    </row>
    <row r="291" spans="3:17">
      <c r="C291" s="512">
        <f>IF(D270="","-",+C290+1)</f>
        <v>2028</v>
      </c>
      <c r="D291" s="477">
        <f t="shared" si="30"/>
        <v>13482430.733333319</v>
      </c>
      <c r="E291" s="519">
        <f t="shared" si="31"/>
        <v>577818.46</v>
      </c>
      <c r="F291" s="519">
        <f t="shared" si="24"/>
        <v>12904612.273333319</v>
      </c>
      <c r="G291" s="477">
        <f t="shared" si="25"/>
        <v>13193521.503333319</v>
      </c>
      <c r="H291" s="513">
        <f>+J271*G291+E291</f>
        <v>2043469.886825186</v>
      </c>
      <c r="I291" s="520">
        <f>+J272*G291+E291</f>
        <v>2043469.886825186</v>
      </c>
      <c r="J291" s="516">
        <f t="shared" si="26"/>
        <v>0</v>
      </c>
      <c r="K291" s="516"/>
      <c r="L291" s="521"/>
      <c r="M291" s="516">
        <f t="shared" si="27"/>
        <v>0</v>
      </c>
      <c r="N291" s="521"/>
      <c r="O291" s="516">
        <f t="shared" si="28"/>
        <v>0</v>
      </c>
      <c r="P291" s="516">
        <f t="shared" si="29"/>
        <v>0</v>
      </c>
      <c r="Q291" s="479"/>
    </row>
    <row r="292" spans="3:17">
      <c r="C292" s="512">
        <f>IF(D270="","-",+C291+1)</f>
        <v>2029</v>
      </c>
      <c r="D292" s="477">
        <f t="shared" si="30"/>
        <v>12904612.273333319</v>
      </c>
      <c r="E292" s="519">
        <f t="shared" si="31"/>
        <v>577818.46</v>
      </c>
      <c r="F292" s="519">
        <f t="shared" si="24"/>
        <v>12326793.813333318</v>
      </c>
      <c r="G292" s="477">
        <f t="shared" si="25"/>
        <v>12615703.043333318</v>
      </c>
      <c r="H292" s="513">
        <f>+J271*G292+E292</f>
        <v>1979280.773241601</v>
      </c>
      <c r="I292" s="520">
        <f>+J272*G292+E292</f>
        <v>1979280.773241601</v>
      </c>
      <c r="J292" s="516">
        <f t="shared" si="26"/>
        <v>0</v>
      </c>
      <c r="K292" s="516"/>
      <c r="L292" s="521"/>
      <c r="M292" s="516">
        <f t="shared" si="27"/>
        <v>0</v>
      </c>
      <c r="N292" s="521"/>
      <c r="O292" s="516">
        <f t="shared" si="28"/>
        <v>0</v>
      </c>
      <c r="P292" s="516">
        <f t="shared" si="29"/>
        <v>0</v>
      </c>
      <c r="Q292" s="479"/>
    </row>
    <row r="293" spans="3:17">
      <c r="C293" s="512">
        <f>IF(D270="","-",+C292+1)</f>
        <v>2030</v>
      </c>
      <c r="D293" s="477">
        <f t="shared" si="30"/>
        <v>12326793.813333318</v>
      </c>
      <c r="E293" s="519">
        <f t="shared" si="31"/>
        <v>577818.46</v>
      </c>
      <c r="F293" s="519">
        <f t="shared" si="24"/>
        <v>11748975.353333317</v>
      </c>
      <c r="G293" s="477">
        <f t="shared" si="25"/>
        <v>12037884.583333317</v>
      </c>
      <c r="H293" s="513">
        <f>+J271*G293+E293</f>
        <v>1915091.6596580159</v>
      </c>
      <c r="I293" s="520">
        <f>+J272*G293+E293</f>
        <v>1915091.6596580159</v>
      </c>
      <c r="J293" s="516">
        <f t="shared" si="26"/>
        <v>0</v>
      </c>
      <c r="K293" s="516"/>
      <c r="L293" s="521"/>
      <c r="M293" s="516">
        <f t="shared" si="27"/>
        <v>0</v>
      </c>
      <c r="N293" s="521"/>
      <c r="O293" s="516">
        <f t="shared" si="28"/>
        <v>0</v>
      </c>
      <c r="P293" s="516">
        <f t="shared" si="29"/>
        <v>0</v>
      </c>
      <c r="Q293" s="479"/>
    </row>
    <row r="294" spans="3:17">
      <c r="C294" s="512">
        <f>IF(D270="","-",+C293+1)</f>
        <v>2031</v>
      </c>
      <c r="D294" s="477">
        <f t="shared" si="30"/>
        <v>11748975.353333317</v>
      </c>
      <c r="E294" s="519">
        <f t="shared" si="31"/>
        <v>577818.46</v>
      </c>
      <c r="F294" s="519">
        <f t="shared" si="24"/>
        <v>11171156.893333316</v>
      </c>
      <c r="G294" s="477">
        <f t="shared" si="25"/>
        <v>11460066.123333316</v>
      </c>
      <c r="H294" s="513">
        <f>+J271*G294+E294</f>
        <v>1850902.5460744312</v>
      </c>
      <c r="I294" s="520">
        <f>+J272*G294+E294</f>
        <v>1850902.5460744312</v>
      </c>
      <c r="J294" s="516">
        <f t="shared" si="26"/>
        <v>0</v>
      </c>
      <c r="K294" s="516"/>
      <c r="L294" s="521"/>
      <c r="M294" s="516">
        <f t="shared" si="27"/>
        <v>0</v>
      </c>
      <c r="N294" s="521"/>
      <c r="O294" s="516">
        <f t="shared" si="28"/>
        <v>0</v>
      </c>
      <c r="P294" s="516">
        <f t="shared" si="29"/>
        <v>0</v>
      </c>
      <c r="Q294" s="479"/>
    </row>
    <row r="295" spans="3:17">
      <c r="C295" s="512">
        <f>IF(D270="","-",+C294+1)</f>
        <v>2032</v>
      </c>
      <c r="D295" s="477">
        <f t="shared" si="30"/>
        <v>11171156.893333316</v>
      </c>
      <c r="E295" s="519">
        <f t="shared" si="31"/>
        <v>577818.46</v>
      </c>
      <c r="F295" s="519">
        <f t="shared" si="24"/>
        <v>10593338.433333315</v>
      </c>
      <c r="G295" s="477">
        <f t="shared" si="25"/>
        <v>10882247.663333315</v>
      </c>
      <c r="H295" s="513">
        <f>+J271*G295+E295</f>
        <v>1786713.4324908461</v>
      </c>
      <c r="I295" s="520">
        <f>+J272*G295+E295</f>
        <v>1786713.4324908461</v>
      </c>
      <c r="J295" s="516">
        <f t="shared" si="26"/>
        <v>0</v>
      </c>
      <c r="K295" s="516"/>
      <c r="L295" s="521"/>
      <c r="M295" s="516">
        <f t="shared" si="27"/>
        <v>0</v>
      </c>
      <c r="N295" s="521"/>
      <c r="O295" s="516">
        <f t="shared" si="28"/>
        <v>0</v>
      </c>
      <c r="P295" s="516">
        <f t="shared" si="29"/>
        <v>0</v>
      </c>
      <c r="Q295" s="479"/>
    </row>
    <row r="296" spans="3:17">
      <c r="C296" s="512">
        <f>IF(D270="","-",+C295+1)</f>
        <v>2033</v>
      </c>
      <c r="D296" s="477">
        <f t="shared" si="30"/>
        <v>10593338.433333315</v>
      </c>
      <c r="E296" s="519">
        <f t="shared" si="31"/>
        <v>577818.46</v>
      </c>
      <c r="F296" s="519">
        <f t="shared" si="24"/>
        <v>10015519.973333314</v>
      </c>
      <c r="G296" s="477">
        <f t="shared" si="25"/>
        <v>10304429.203333315</v>
      </c>
      <c r="H296" s="513">
        <f>+J271*G296+E296</f>
        <v>1722524.3189072611</v>
      </c>
      <c r="I296" s="520">
        <f>+J272*G296+E296</f>
        <v>1722524.3189072611</v>
      </c>
      <c r="J296" s="516">
        <f t="shared" si="26"/>
        <v>0</v>
      </c>
      <c r="K296" s="516"/>
      <c r="L296" s="521"/>
      <c r="M296" s="516">
        <f t="shared" si="27"/>
        <v>0</v>
      </c>
      <c r="N296" s="521"/>
      <c r="O296" s="516">
        <f t="shared" si="28"/>
        <v>0</v>
      </c>
      <c r="P296" s="516">
        <f t="shared" si="29"/>
        <v>0</v>
      </c>
      <c r="Q296" s="479"/>
    </row>
    <row r="297" spans="3:17">
      <c r="C297" s="512">
        <f>IF(D270="","-",+C296+1)</f>
        <v>2034</v>
      </c>
      <c r="D297" s="477">
        <f t="shared" si="30"/>
        <v>10015519.973333314</v>
      </c>
      <c r="E297" s="519">
        <f t="shared" si="31"/>
        <v>577818.46</v>
      </c>
      <c r="F297" s="519">
        <f t="shared" si="24"/>
        <v>9437701.5133333132</v>
      </c>
      <c r="G297" s="477">
        <f t="shared" si="25"/>
        <v>9726610.7433333136</v>
      </c>
      <c r="H297" s="513">
        <f>+J271*G297+E297</f>
        <v>1658335.2053236761</v>
      </c>
      <c r="I297" s="520">
        <f>+J272*G297+E297</f>
        <v>1658335.2053236761</v>
      </c>
      <c r="J297" s="516">
        <f t="shared" si="26"/>
        <v>0</v>
      </c>
      <c r="K297" s="516"/>
      <c r="L297" s="521"/>
      <c r="M297" s="516">
        <f t="shared" si="27"/>
        <v>0</v>
      </c>
      <c r="N297" s="521"/>
      <c r="O297" s="516">
        <f t="shared" si="28"/>
        <v>0</v>
      </c>
      <c r="P297" s="516">
        <f t="shared" si="29"/>
        <v>0</v>
      </c>
      <c r="Q297" s="479"/>
    </row>
    <row r="298" spans="3:17">
      <c r="C298" s="512">
        <f>IF(D270="","-",+C297+1)</f>
        <v>2035</v>
      </c>
      <c r="D298" s="477">
        <f t="shared" si="30"/>
        <v>9437701.5133333132</v>
      </c>
      <c r="E298" s="519">
        <f t="shared" si="31"/>
        <v>577818.46</v>
      </c>
      <c r="F298" s="519">
        <f t="shared" si="24"/>
        <v>8859883.0533333123</v>
      </c>
      <c r="G298" s="477">
        <f t="shared" si="25"/>
        <v>9148792.2833333127</v>
      </c>
      <c r="H298" s="513">
        <f>+J271*G298+E298</f>
        <v>1594146.0917400913</v>
      </c>
      <c r="I298" s="520">
        <f>+J272*G298+E298</f>
        <v>1594146.0917400913</v>
      </c>
      <c r="J298" s="516">
        <f t="shared" si="26"/>
        <v>0</v>
      </c>
      <c r="K298" s="516"/>
      <c r="L298" s="521"/>
      <c r="M298" s="516">
        <f t="shared" si="27"/>
        <v>0</v>
      </c>
      <c r="N298" s="521"/>
      <c r="O298" s="516">
        <f t="shared" si="28"/>
        <v>0</v>
      </c>
      <c r="P298" s="516">
        <f t="shared" si="29"/>
        <v>0</v>
      </c>
      <c r="Q298" s="479"/>
    </row>
    <row r="299" spans="3:17">
      <c r="C299" s="512">
        <f>IF(D270="","-",+C298+1)</f>
        <v>2036</v>
      </c>
      <c r="D299" s="477">
        <f t="shared" si="30"/>
        <v>8859883.0533333123</v>
      </c>
      <c r="E299" s="519">
        <f t="shared" si="31"/>
        <v>577818.46</v>
      </c>
      <c r="F299" s="519">
        <f t="shared" si="24"/>
        <v>8282064.5933333123</v>
      </c>
      <c r="G299" s="477">
        <f t="shared" si="25"/>
        <v>8570973.8233333118</v>
      </c>
      <c r="H299" s="513">
        <f>+J271*G299+E299</f>
        <v>1529956.9781565063</v>
      </c>
      <c r="I299" s="520">
        <f>+J272*G299+E299</f>
        <v>1529956.9781565063</v>
      </c>
      <c r="J299" s="516">
        <f t="shared" si="26"/>
        <v>0</v>
      </c>
      <c r="K299" s="516"/>
      <c r="L299" s="521"/>
      <c r="M299" s="516">
        <f t="shared" si="27"/>
        <v>0</v>
      </c>
      <c r="N299" s="521"/>
      <c r="O299" s="516">
        <f t="shared" si="28"/>
        <v>0</v>
      </c>
      <c r="P299" s="516">
        <f t="shared" si="29"/>
        <v>0</v>
      </c>
      <c r="Q299" s="479"/>
    </row>
    <row r="300" spans="3:17">
      <c r="C300" s="512">
        <f>IF(D270="","-",+C299+1)</f>
        <v>2037</v>
      </c>
      <c r="D300" s="477">
        <f t="shared" si="30"/>
        <v>8282064.5933333123</v>
      </c>
      <c r="E300" s="519">
        <f t="shared" si="31"/>
        <v>577818.46</v>
      </c>
      <c r="F300" s="519">
        <f t="shared" si="24"/>
        <v>7704246.1333333123</v>
      </c>
      <c r="G300" s="477">
        <f t="shared" si="25"/>
        <v>7993155.3633333128</v>
      </c>
      <c r="H300" s="513">
        <f>+J271*G300+E300</f>
        <v>1465767.8645729215</v>
      </c>
      <c r="I300" s="520">
        <f>+J272*G300+E300</f>
        <v>1465767.8645729215</v>
      </c>
      <c r="J300" s="516">
        <f t="shared" si="26"/>
        <v>0</v>
      </c>
      <c r="K300" s="516"/>
      <c r="L300" s="521"/>
      <c r="M300" s="516">
        <f t="shared" si="27"/>
        <v>0</v>
      </c>
      <c r="N300" s="521"/>
      <c r="O300" s="516">
        <f t="shared" si="28"/>
        <v>0</v>
      </c>
      <c r="P300" s="516">
        <f t="shared" si="29"/>
        <v>0</v>
      </c>
      <c r="Q300" s="479"/>
    </row>
    <row r="301" spans="3:17">
      <c r="C301" s="512">
        <f>IF(D270="","-",+C300+1)</f>
        <v>2038</v>
      </c>
      <c r="D301" s="477">
        <f t="shared" si="30"/>
        <v>7704246.1333333123</v>
      </c>
      <c r="E301" s="519">
        <f t="shared" si="31"/>
        <v>577818.46</v>
      </c>
      <c r="F301" s="519">
        <f t="shared" si="24"/>
        <v>7126427.6733333124</v>
      </c>
      <c r="G301" s="477">
        <f t="shared" si="25"/>
        <v>7415336.9033333119</v>
      </c>
      <c r="H301" s="513">
        <f>+J271*G301+E301</f>
        <v>1401578.7509893365</v>
      </c>
      <c r="I301" s="520">
        <f>+J272*G301+E301</f>
        <v>1401578.7509893365</v>
      </c>
      <c r="J301" s="516">
        <f t="shared" si="26"/>
        <v>0</v>
      </c>
      <c r="K301" s="516"/>
      <c r="L301" s="521"/>
      <c r="M301" s="516">
        <f t="shared" si="27"/>
        <v>0</v>
      </c>
      <c r="N301" s="521"/>
      <c r="O301" s="516">
        <f t="shared" si="28"/>
        <v>0</v>
      </c>
      <c r="P301" s="516">
        <f t="shared" si="29"/>
        <v>0</v>
      </c>
      <c r="Q301" s="479"/>
    </row>
    <row r="302" spans="3:17">
      <c r="C302" s="512">
        <f>IF(D270="","-",+C301+1)</f>
        <v>2039</v>
      </c>
      <c r="D302" s="477">
        <f t="shared" si="30"/>
        <v>7126427.6733333124</v>
      </c>
      <c r="E302" s="519">
        <f t="shared" si="31"/>
        <v>577818.46</v>
      </c>
      <c r="F302" s="519">
        <f t="shared" si="24"/>
        <v>6548609.2133333124</v>
      </c>
      <c r="G302" s="477">
        <f t="shared" si="25"/>
        <v>6837518.4433333129</v>
      </c>
      <c r="H302" s="513">
        <f>+J271*G302+E302</f>
        <v>1337389.6374057517</v>
      </c>
      <c r="I302" s="520">
        <f>+J272*G302+E302</f>
        <v>1337389.6374057517</v>
      </c>
      <c r="J302" s="516">
        <f t="shared" si="26"/>
        <v>0</v>
      </c>
      <c r="K302" s="516"/>
      <c r="L302" s="521"/>
      <c r="M302" s="516">
        <f t="shared" si="27"/>
        <v>0</v>
      </c>
      <c r="N302" s="521"/>
      <c r="O302" s="516">
        <f t="shared" si="28"/>
        <v>0</v>
      </c>
      <c r="P302" s="516">
        <f t="shared" si="29"/>
        <v>0</v>
      </c>
      <c r="Q302" s="479"/>
    </row>
    <row r="303" spans="3:17">
      <c r="C303" s="512">
        <f>IF(D270="","-",+C302+1)</f>
        <v>2040</v>
      </c>
      <c r="D303" s="477">
        <f t="shared" si="30"/>
        <v>6548609.2133333124</v>
      </c>
      <c r="E303" s="519">
        <f t="shared" si="31"/>
        <v>577818.46</v>
      </c>
      <c r="F303" s="519">
        <f t="shared" si="24"/>
        <v>5970790.7533333125</v>
      </c>
      <c r="G303" s="477">
        <f t="shared" si="25"/>
        <v>6259699.983333312</v>
      </c>
      <c r="H303" s="513">
        <f>+J271*G303+E303</f>
        <v>1273200.523822167</v>
      </c>
      <c r="I303" s="520">
        <f>+J272*G303+E303</f>
        <v>1273200.523822167</v>
      </c>
      <c r="J303" s="516">
        <f t="shared" si="26"/>
        <v>0</v>
      </c>
      <c r="K303" s="516"/>
      <c r="L303" s="521"/>
      <c r="M303" s="516">
        <f t="shared" si="27"/>
        <v>0</v>
      </c>
      <c r="N303" s="521"/>
      <c r="O303" s="516">
        <f t="shared" si="28"/>
        <v>0</v>
      </c>
      <c r="P303" s="516">
        <f t="shared" si="29"/>
        <v>0</v>
      </c>
      <c r="Q303" s="479"/>
    </row>
    <row r="304" spans="3:17">
      <c r="C304" s="512">
        <f>IF(D270="","-",+C303+1)</f>
        <v>2041</v>
      </c>
      <c r="D304" s="477">
        <f t="shared" si="30"/>
        <v>5970790.7533333125</v>
      </c>
      <c r="E304" s="519">
        <f t="shared" si="31"/>
        <v>577818.46</v>
      </c>
      <c r="F304" s="519">
        <f t="shared" si="24"/>
        <v>5392972.2933333125</v>
      </c>
      <c r="G304" s="477">
        <f t="shared" si="25"/>
        <v>5681881.5233333129</v>
      </c>
      <c r="H304" s="513">
        <f>+J271*G304+E304</f>
        <v>1209011.4102385822</v>
      </c>
      <c r="I304" s="520">
        <f>+J272*G304+E304</f>
        <v>1209011.4102385822</v>
      </c>
      <c r="J304" s="516">
        <f t="shared" si="26"/>
        <v>0</v>
      </c>
      <c r="K304" s="516"/>
      <c r="L304" s="521"/>
      <c r="M304" s="516">
        <f t="shared" si="27"/>
        <v>0</v>
      </c>
      <c r="N304" s="521"/>
      <c r="O304" s="516">
        <f t="shared" si="28"/>
        <v>0</v>
      </c>
      <c r="P304" s="516">
        <f t="shared" si="29"/>
        <v>0</v>
      </c>
      <c r="Q304" s="479"/>
    </row>
    <row r="305" spans="3:17">
      <c r="C305" s="512">
        <f>IF(D270="","-",+C304+1)</f>
        <v>2042</v>
      </c>
      <c r="D305" s="477">
        <f t="shared" si="30"/>
        <v>5392972.2933333125</v>
      </c>
      <c r="E305" s="519">
        <f t="shared" si="31"/>
        <v>577818.46</v>
      </c>
      <c r="F305" s="519">
        <f t="shared" si="24"/>
        <v>4815153.8333333125</v>
      </c>
      <c r="G305" s="477">
        <f t="shared" si="25"/>
        <v>5104063.063333312</v>
      </c>
      <c r="H305" s="513">
        <f>+J271*G305+E305</f>
        <v>1144822.2966549972</v>
      </c>
      <c r="I305" s="520">
        <f>+J272*G305+E305</f>
        <v>1144822.2966549972</v>
      </c>
      <c r="J305" s="516">
        <f t="shared" si="26"/>
        <v>0</v>
      </c>
      <c r="K305" s="516"/>
      <c r="L305" s="521"/>
      <c r="M305" s="516">
        <f t="shared" si="27"/>
        <v>0</v>
      </c>
      <c r="N305" s="521"/>
      <c r="O305" s="516">
        <f t="shared" si="28"/>
        <v>0</v>
      </c>
      <c r="P305" s="516">
        <f t="shared" si="29"/>
        <v>0</v>
      </c>
      <c r="Q305" s="479"/>
    </row>
    <row r="306" spans="3:17">
      <c r="C306" s="512">
        <f>IF(D270="","-",+C305+1)</f>
        <v>2043</v>
      </c>
      <c r="D306" s="477">
        <f t="shared" si="30"/>
        <v>4815153.8333333125</v>
      </c>
      <c r="E306" s="519">
        <f t="shared" si="31"/>
        <v>577818.46</v>
      </c>
      <c r="F306" s="519">
        <f t="shared" si="24"/>
        <v>4237335.3733333126</v>
      </c>
      <c r="G306" s="477">
        <f t="shared" si="25"/>
        <v>4526244.603333313</v>
      </c>
      <c r="H306" s="513">
        <f>+J271*G306+E306</f>
        <v>1080633.1830714124</v>
      </c>
      <c r="I306" s="520">
        <f>+J272*G306+E306</f>
        <v>1080633.1830714124</v>
      </c>
      <c r="J306" s="516">
        <f t="shared" si="26"/>
        <v>0</v>
      </c>
      <c r="K306" s="516"/>
      <c r="L306" s="521"/>
      <c r="M306" s="516">
        <f t="shared" si="27"/>
        <v>0</v>
      </c>
      <c r="N306" s="521"/>
      <c r="O306" s="516">
        <f t="shared" si="28"/>
        <v>0</v>
      </c>
      <c r="P306" s="516">
        <f t="shared" si="29"/>
        <v>0</v>
      </c>
      <c r="Q306" s="479"/>
    </row>
    <row r="307" spans="3:17">
      <c r="C307" s="512">
        <f>IF(D270="","-",+C306+1)</f>
        <v>2044</v>
      </c>
      <c r="D307" s="477">
        <f t="shared" si="30"/>
        <v>4237335.3733333126</v>
      </c>
      <c r="E307" s="519">
        <f t="shared" si="31"/>
        <v>577818.46</v>
      </c>
      <c r="F307" s="519">
        <f t="shared" si="24"/>
        <v>3659516.9133333126</v>
      </c>
      <c r="G307" s="477">
        <f t="shared" si="25"/>
        <v>3948426.1433333126</v>
      </c>
      <c r="H307" s="513">
        <f>+J271*G307+E307</f>
        <v>1016444.0694878276</v>
      </c>
      <c r="I307" s="520">
        <f>+J272*G307+E307</f>
        <v>1016444.0694878276</v>
      </c>
      <c r="J307" s="516">
        <f t="shared" si="26"/>
        <v>0</v>
      </c>
      <c r="K307" s="516"/>
      <c r="L307" s="521"/>
      <c r="M307" s="516">
        <f t="shared" si="27"/>
        <v>0</v>
      </c>
      <c r="N307" s="521"/>
      <c r="O307" s="516">
        <f t="shared" si="28"/>
        <v>0</v>
      </c>
      <c r="P307" s="516">
        <f t="shared" si="29"/>
        <v>0</v>
      </c>
      <c r="Q307" s="479"/>
    </row>
    <row r="308" spans="3:17">
      <c r="C308" s="512">
        <f>IF(D270="","-",+C307+1)</f>
        <v>2045</v>
      </c>
      <c r="D308" s="477">
        <f t="shared" si="30"/>
        <v>3659516.9133333126</v>
      </c>
      <c r="E308" s="519">
        <f t="shared" si="31"/>
        <v>577818.46</v>
      </c>
      <c r="F308" s="519">
        <f t="shared" si="24"/>
        <v>3081698.4533333126</v>
      </c>
      <c r="G308" s="477">
        <f t="shared" si="25"/>
        <v>3370607.6833333126</v>
      </c>
      <c r="H308" s="513">
        <f>+J271*G308+E308</f>
        <v>952254.95590424258</v>
      </c>
      <c r="I308" s="520">
        <f>+J272*G308+E308</f>
        <v>952254.95590424258</v>
      </c>
      <c r="J308" s="516">
        <f t="shared" si="26"/>
        <v>0</v>
      </c>
      <c r="K308" s="516"/>
      <c r="L308" s="521"/>
      <c r="M308" s="516">
        <f t="shared" si="27"/>
        <v>0</v>
      </c>
      <c r="N308" s="521"/>
      <c r="O308" s="516">
        <f t="shared" si="28"/>
        <v>0</v>
      </c>
      <c r="P308" s="516">
        <f t="shared" si="29"/>
        <v>0</v>
      </c>
      <c r="Q308" s="479"/>
    </row>
    <row r="309" spans="3:17">
      <c r="C309" s="512">
        <f>IF(D270="","-",+C308+1)</f>
        <v>2046</v>
      </c>
      <c r="D309" s="477">
        <f t="shared" si="30"/>
        <v>3081698.4533333126</v>
      </c>
      <c r="E309" s="519">
        <f t="shared" si="31"/>
        <v>577818.46</v>
      </c>
      <c r="F309" s="519">
        <f t="shared" si="24"/>
        <v>2503879.9933333127</v>
      </c>
      <c r="G309" s="477">
        <f t="shared" si="25"/>
        <v>2792789.2233333127</v>
      </c>
      <c r="H309" s="513">
        <f>+J271*G309+E309</f>
        <v>888065.8423206578</v>
      </c>
      <c r="I309" s="520">
        <f>+J272*G309+E309</f>
        <v>888065.8423206578</v>
      </c>
      <c r="J309" s="516">
        <f t="shared" si="26"/>
        <v>0</v>
      </c>
      <c r="K309" s="516"/>
      <c r="L309" s="521"/>
      <c r="M309" s="516">
        <f t="shared" si="27"/>
        <v>0</v>
      </c>
      <c r="N309" s="521"/>
      <c r="O309" s="516">
        <f t="shared" si="28"/>
        <v>0</v>
      </c>
      <c r="P309" s="516">
        <f t="shared" si="29"/>
        <v>0</v>
      </c>
      <c r="Q309" s="479"/>
    </row>
    <row r="310" spans="3:17">
      <c r="C310" s="512">
        <f>IF(D270="","-",+C309+1)</f>
        <v>2047</v>
      </c>
      <c r="D310" s="477">
        <f t="shared" si="30"/>
        <v>2503879.9933333127</v>
      </c>
      <c r="E310" s="519">
        <f t="shared" si="31"/>
        <v>577818.46</v>
      </c>
      <c r="F310" s="519">
        <f t="shared" si="24"/>
        <v>1926061.5333333127</v>
      </c>
      <c r="G310" s="477">
        <f t="shared" si="25"/>
        <v>2214970.7633333127</v>
      </c>
      <c r="H310" s="513">
        <f>+J271*G310+E310</f>
        <v>823876.72873707302</v>
      </c>
      <c r="I310" s="520">
        <f>+J272*G310+E310</f>
        <v>823876.72873707302</v>
      </c>
      <c r="J310" s="516">
        <f t="shared" si="26"/>
        <v>0</v>
      </c>
      <c r="K310" s="516"/>
      <c r="L310" s="521"/>
      <c r="M310" s="516">
        <f t="shared" si="27"/>
        <v>0</v>
      </c>
      <c r="N310" s="521"/>
      <c r="O310" s="516">
        <f t="shared" si="28"/>
        <v>0</v>
      </c>
      <c r="P310" s="516">
        <f t="shared" si="29"/>
        <v>0</v>
      </c>
      <c r="Q310" s="479"/>
    </row>
    <row r="311" spans="3:17">
      <c r="C311" s="512">
        <f>IF(D270="","-",+C310+1)</f>
        <v>2048</v>
      </c>
      <c r="D311" s="477">
        <f t="shared" si="30"/>
        <v>1926061.5333333127</v>
      </c>
      <c r="E311" s="519">
        <f t="shared" si="31"/>
        <v>577818.46</v>
      </c>
      <c r="F311" s="519">
        <f t="shared" si="24"/>
        <v>1348243.0733333128</v>
      </c>
      <c r="G311" s="477">
        <f t="shared" si="25"/>
        <v>1637152.3033333127</v>
      </c>
      <c r="H311" s="513">
        <f>+J271*G311+E311</f>
        <v>759687.61515348812</v>
      </c>
      <c r="I311" s="520">
        <f>+J272*G311+E311</f>
        <v>759687.61515348812</v>
      </c>
      <c r="J311" s="516">
        <f t="shared" si="26"/>
        <v>0</v>
      </c>
      <c r="K311" s="516"/>
      <c r="L311" s="521"/>
      <c r="M311" s="516">
        <f t="shared" si="27"/>
        <v>0</v>
      </c>
      <c r="N311" s="521"/>
      <c r="O311" s="516">
        <f t="shared" si="28"/>
        <v>0</v>
      </c>
      <c r="P311" s="516">
        <f t="shared" si="29"/>
        <v>0</v>
      </c>
      <c r="Q311" s="479"/>
    </row>
    <row r="312" spans="3:17">
      <c r="C312" s="512">
        <f>IF(D270="","-",+C311+1)</f>
        <v>2049</v>
      </c>
      <c r="D312" s="477">
        <f t="shared" si="30"/>
        <v>1348243.0733333128</v>
      </c>
      <c r="E312" s="519">
        <f t="shared" si="31"/>
        <v>577818.46</v>
      </c>
      <c r="F312" s="519">
        <f t="shared" si="24"/>
        <v>770424.61333331279</v>
      </c>
      <c r="G312" s="477">
        <f t="shared" si="25"/>
        <v>1059333.8433333128</v>
      </c>
      <c r="H312" s="513">
        <f>+J271*G312+E312</f>
        <v>695498.50156990322</v>
      </c>
      <c r="I312" s="520">
        <f>+J272*G312+E312</f>
        <v>695498.50156990322</v>
      </c>
      <c r="J312" s="516">
        <f t="shared" si="26"/>
        <v>0</v>
      </c>
      <c r="K312" s="516"/>
      <c r="L312" s="521"/>
      <c r="M312" s="516">
        <f t="shared" si="27"/>
        <v>0</v>
      </c>
      <c r="N312" s="521"/>
      <c r="O312" s="516">
        <f t="shared" si="28"/>
        <v>0</v>
      </c>
      <c r="P312" s="516">
        <f t="shared" si="29"/>
        <v>0</v>
      </c>
      <c r="Q312" s="479"/>
    </row>
    <row r="313" spans="3:17">
      <c r="C313" s="512">
        <f>IF(D270="","-",+C312+1)</f>
        <v>2050</v>
      </c>
      <c r="D313" s="477">
        <f t="shared" si="30"/>
        <v>770424.61333331279</v>
      </c>
      <c r="E313" s="519">
        <f t="shared" si="31"/>
        <v>577818.46</v>
      </c>
      <c r="F313" s="519">
        <f t="shared" si="24"/>
        <v>192606.15333331283</v>
      </c>
      <c r="G313" s="477">
        <f t="shared" si="25"/>
        <v>481515.38333331281</v>
      </c>
      <c r="H313" s="513">
        <f>+J271*G313+E313</f>
        <v>631309.38798631844</v>
      </c>
      <c r="I313" s="520">
        <f>+J272*G313+E313</f>
        <v>631309.38798631844</v>
      </c>
      <c r="J313" s="516">
        <f t="shared" si="26"/>
        <v>0</v>
      </c>
      <c r="K313" s="516"/>
      <c r="L313" s="521"/>
      <c r="M313" s="516">
        <f t="shared" si="27"/>
        <v>0</v>
      </c>
      <c r="N313" s="521"/>
      <c r="O313" s="516">
        <f t="shared" si="28"/>
        <v>0</v>
      </c>
      <c r="P313" s="516">
        <f t="shared" si="29"/>
        <v>0</v>
      </c>
      <c r="Q313" s="479"/>
    </row>
    <row r="314" spans="3:17">
      <c r="C314" s="512">
        <f>IF(D270="","-",+C313+1)</f>
        <v>2051</v>
      </c>
      <c r="D314" s="477">
        <f t="shared" si="30"/>
        <v>192606.15333331283</v>
      </c>
      <c r="E314" s="519">
        <f t="shared" si="31"/>
        <v>192606.15333331283</v>
      </c>
      <c r="F314" s="519">
        <f t="shared" si="24"/>
        <v>0</v>
      </c>
      <c r="G314" s="477">
        <f t="shared" si="25"/>
        <v>96303.076666656416</v>
      </c>
      <c r="H314" s="513">
        <f>+J271*G314+E314</f>
        <v>203304.33893057585</v>
      </c>
      <c r="I314" s="520">
        <f>+J272*G314+E314</f>
        <v>203304.33893057585</v>
      </c>
      <c r="J314" s="516">
        <f t="shared" si="26"/>
        <v>0</v>
      </c>
      <c r="K314" s="516"/>
      <c r="L314" s="521"/>
      <c r="M314" s="516">
        <f t="shared" si="27"/>
        <v>0</v>
      </c>
      <c r="N314" s="521"/>
      <c r="O314" s="516">
        <f t="shared" si="28"/>
        <v>0</v>
      </c>
      <c r="P314" s="516">
        <f t="shared" si="29"/>
        <v>0</v>
      </c>
      <c r="Q314" s="479"/>
    </row>
    <row r="315" spans="3:17">
      <c r="C315" s="512">
        <f>IF(D270="","-",+C314+1)</f>
        <v>2052</v>
      </c>
      <c r="D315" s="477">
        <f t="shared" si="30"/>
        <v>0</v>
      </c>
      <c r="E315" s="519">
        <f t="shared" si="31"/>
        <v>0</v>
      </c>
      <c r="F315" s="519">
        <f t="shared" si="24"/>
        <v>0</v>
      </c>
      <c r="G315" s="477">
        <f t="shared" si="25"/>
        <v>0</v>
      </c>
      <c r="H315" s="513">
        <f>+J271*G315+E315</f>
        <v>0</v>
      </c>
      <c r="I315" s="520">
        <f>+J272*G315+E315</f>
        <v>0</v>
      </c>
      <c r="J315" s="516">
        <f t="shared" si="26"/>
        <v>0</v>
      </c>
      <c r="K315" s="516"/>
      <c r="L315" s="521"/>
      <c r="M315" s="516">
        <f t="shared" si="27"/>
        <v>0</v>
      </c>
      <c r="N315" s="521"/>
      <c r="O315" s="516">
        <f t="shared" si="28"/>
        <v>0</v>
      </c>
      <c r="P315" s="516">
        <f t="shared" si="29"/>
        <v>0</v>
      </c>
      <c r="Q315" s="479"/>
    </row>
    <row r="316" spans="3:17">
      <c r="C316" s="512">
        <f>IF(D270="","-",+C315+1)</f>
        <v>2053</v>
      </c>
      <c r="D316" s="477">
        <f t="shared" si="30"/>
        <v>0</v>
      </c>
      <c r="E316" s="519">
        <f t="shared" si="31"/>
        <v>0</v>
      </c>
      <c r="F316" s="519">
        <f t="shared" si="24"/>
        <v>0</v>
      </c>
      <c r="G316" s="477">
        <f t="shared" si="25"/>
        <v>0</v>
      </c>
      <c r="H316" s="513">
        <f>+J271*G316+E316</f>
        <v>0</v>
      </c>
      <c r="I316" s="520">
        <f>+J272*G316+E316</f>
        <v>0</v>
      </c>
      <c r="J316" s="516">
        <f t="shared" si="26"/>
        <v>0</v>
      </c>
      <c r="K316" s="516"/>
      <c r="L316" s="521"/>
      <c r="M316" s="516">
        <f t="shared" si="27"/>
        <v>0</v>
      </c>
      <c r="N316" s="521"/>
      <c r="O316" s="516">
        <f t="shared" si="28"/>
        <v>0</v>
      </c>
      <c r="P316" s="516">
        <f t="shared" si="29"/>
        <v>0</v>
      </c>
      <c r="Q316" s="479"/>
    </row>
    <row r="317" spans="3:17">
      <c r="C317" s="512">
        <f>IF(D270="","-",+C316+1)</f>
        <v>2054</v>
      </c>
      <c r="D317" s="477">
        <f t="shared" si="30"/>
        <v>0</v>
      </c>
      <c r="E317" s="519">
        <f t="shared" si="31"/>
        <v>0</v>
      </c>
      <c r="F317" s="519">
        <f t="shared" si="24"/>
        <v>0</v>
      </c>
      <c r="G317" s="477">
        <f t="shared" si="25"/>
        <v>0</v>
      </c>
      <c r="H317" s="513">
        <f>+J271*G317+E317</f>
        <v>0</v>
      </c>
      <c r="I317" s="520">
        <f>+J272*G317+E317</f>
        <v>0</v>
      </c>
      <c r="J317" s="516">
        <f t="shared" si="26"/>
        <v>0</v>
      </c>
      <c r="K317" s="516"/>
      <c r="L317" s="521"/>
      <c r="M317" s="516">
        <f t="shared" si="27"/>
        <v>0</v>
      </c>
      <c r="N317" s="521"/>
      <c r="O317" s="516">
        <f t="shared" si="28"/>
        <v>0</v>
      </c>
      <c r="P317" s="516">
        <f t="shared" si="29"/>
        <v>0</v>
      </c>
      <c r="Q317" s="479"/>
    </row>
    <row r="318" spans="3:17">
      <c r="C318" s="512">
        <f>IF(D270="","-",+C317+1)</f>
        <v>2055</v>
      </c>
      <c r="D318" s="477">
        <f t="shared" si="30"/>
        <v>0</v>
      </c>
      <c r="E318" s="519">
        <f t="shared" si="31"/>
        <v>0</v>
      </c>
      <c r="F318" s="519">
        <f t="shared" si="24"/>
        <v>0</v>
      </c>
      <c r="G318" s="477">
        <f t="shared" si="25"/>
        <v>0</v>
      </c>
      <c r="H318" s="513">
        <f>+J271*G318+E318</f>
        <v>0</v>
      </c>
      <c r="I318" s="520">
        <f>+J272*G318+E318</f>
        <v>0</v>
      </c>
      <c r="J318" s="516">
        <f t="shared" si="26"/>
        <v>0</v>
      </c>
      <c r="K318" s="516"/>
      <c r="L318" s="521"/>
      <c r="M318" s="516">
        <f t="shared" si="27"/>
        <v>0</v>
      </c>
      <c r="N318" s="521"/>
      <c r="O318" s="516">
        <f t="shared" si="28"/>
        <v>0</v>
      </c>
      <c r="P318" s="516">
        <f t="shared" si="29"/>
        <v>0</v>
      </c>
      <c r="Q318" s="479"/>
    </row>
    <row r="319" spans="3:17">
      <c r="C319" s="512">
        <f>IF(D270="","-",+C318+1)</f>
        <v>2056</v>
      </c>
      <c r="D319" s="477">
        <f t="shared" si="30"/>
        <v>0</v>
      </c>
      <c r="E319" s="519">
        <f t="shared" si="31"/>
        <v>0</v>
      </c>
      <c r="F319" s="519">
        <f t="shared" si="24"/>
        <v>0</v>
      </c>
      <c r="G319" s="477">
        <f t="shared" si="25"/>
        <v>0</v>
      </c>
      <c r="H319" s="513">
        <f>+J271*G319+E319</f>
        <v>0</v>
      </c>
      <c r="I319" s="520">
        <f>+J272*G319+E319</f>
        <v>0</v>
      </c>
      <c r="J319" s="516">
        <f t="shared" si="26"/>
        <v>0</v>
      </c>
      <c r="K319" s="516"/>
      <c r="L319" s="521"/>
      <c r="M319" s="516">
        <f t="shared" si="27"/>
        <v>0</v>
      </c>
      <c r="N319" s="521"/>
      <c r="O319" s="516">
        <f t="shared" si="28"/>
        <v>0</v>
      </c>
      <c r="P319" s="516">
        <f t="shared" si="29"/>
        <v>0</v>
      </c>
      <c r="Q319" s="479"/>
    </row>
    <row r="320" spans="3:17">
      <c r="C320" s="512">
        <f>IF(D270="","-",+C319+1)</f>
        <v>2057</v>
      </c>
      <c r="D320" s="477">
        <f t="shared" si="30"/>
        <v>0</v>
      </c>
      <c r="E320" s="519">
        <f t="shared" si="31"/>
        <v>0</v>
      </c>
      <c r="F320" s="519">
        <f t="shared" si="24"/>
        <v>0</v>
      </c>
      <c r="G320" s="477">
        <f t="shared" si="25"/>
        <v>0</v>
      </c>
      <c r="H320" s="513">
        <f>+J271*G320+E320</f>
        <v>0</v>
      </c>
      <c r="I320" s="520">
        <f>+J272*G320+E320</f>
        <v>0</v>
      </c>
      <c r="J320" s="516">
        <f t="shared" si="26"/>
        <v>0</v>
      </c>
      <c r="K320" s="516"/>
      <c r="L320" s="521"/>
      <c r="M320" s="516">
        <f t="shared" si="27"/>
        <v>0</v>
      </c>
      <c r="N320" s="521"/>
      <c r="O320" s="516">
        <f t="shared" si="28"/>
        <v>0</v>
      </c>
      <c r="P320" s="516">
        <f t="shared" si="29"/>
        <v>0</v>
      </c>
      <c r="Q320" s="479"/>
    </row>
    <row r="321" spans="3:17">
      <c r="C321" s="512">
        <f>IF(D270="","-",+C320+1)</f>
        <v>2058</v>
      </c>
      <c r="D321" s="477">
        <f t="shared" si="30"/>
        <v>0</v>
      </c>
      <c r="E321" s="519">
        <f t="shared" si="31"/>
        <v>0</v>
      </c>
      <c r="F321" s="519">
        <f t="shared" si="24"/>
        <v>0</v>
      </c>
      <c r="G321" s="477">
        <f t="shared" si="25"/>
        <v>0</v>
      </c>
      <c r="H321" s="513">
        <f>+J271*G321+E321</f>
        <v>0</v>
      </c>
      <c r="I321" s="520">
        <f>+J272*G321+E321</f>
        <v>0</v>
      </c>
      <c r="J321" s="516">
        <f t="shared" si="26"/>
        <v>0</v>
      </c>
      <c r="K321" s="516"/>
      <c r="L321" s="521"/>
      <c r="M321" s="516">
        <f t="shared" si="27"/>
        <v>0</v>
      </c>
      <c r="N321" s="521"/>
      <c r="O321" s="516">
        <f t="shared" si="28"/>
        <v>0</v>
      </c>
      <c r="P321" s="516">
        <f t="shared" si="29"/>
        <v>0</v>
      </c>
      <c r="Q321" s="479"/>
    </row>
    <row r="322" spans="3:17">
      <c r="C322" s="512">
        <f>IF(D270="","-",+C321+1)</f>
        <v>2059</v>
      </c>
      <c r="D322" s="477">
        <f t="shared" si="30"/>
        <v>0</v>
      </c>
      <c r="E322" s="519">
        <f t="shared" si="31"/>
        <v>0</v>
      </c>
      <c r="F322" s="519">
        <f t="shared" si="24"/>
        <v>0</v>
      </c>
      <c r="G322" s="477">
        <f t="shared" si="25"/>
        <v>0</v>
      </c>
      <c r="H322" s="513">
        <f>+J271*G322+E322</f>
        <v>0</v>
      </c>
      <c r="I322" s="520">
        <f>+J272*G322+E322</f>
        <v>0</v>
      </c>
      <c r="J322" s="516">
        <f t="shared" si="26"/>
        <v>0</v>
      </c>
      <c r="K322" s="516"/>
      <c r="L322" s="521"/>
      <c r="M322" s="516">
        <f t="shared" si="27"/>
        <v>0</v>
      </c>
      <c r="N322" s="521"/>
      <c r="O322" s="516">
        <f t="shared" si="28"/>
        <v>0</v>
      </c>
      <c r="P322" s="516">
        <f t="shared" si="29"/>
        <v>0</v>
      </c>
      <c r="Q322" s="479"/>
    </row>
    <row r="323" spans="3:17">
      <c r="C323" s="512">
        <f>IF(D270="","-",+C322+1)</f>
        <v>2060</v>
      </c>
      <c r="D323" s="477">
        <f t="shared" si="30"/>
        <v>0</v>
      </c>
      <c r="E323" s="519">
        <f t="shared" si="31"/>
        <v>0</v>
      </c>
      <c r="F323" s="519">
        <f t="shared" si="24"/>
        <v>0</v>
      </c>
      <c r="G323" s="477">
        <f t="shared" si="25"/>
        <v>0</v>
      </c>
      <c r="H323" s="513">
        <f>+J271*G323+E323</f>
        <v>0</v>
      </c>
      <c r="I323" s="520">
        <f>+J272*G323+E323</f>
        <v>0</v>
      </c>
      <c r="J323" s="516">
        <f t="shared" si="26"/>
        <v>0</v>
      </c>
      <c r="K323" s="516"/>
      <c r="L323" s="521"/>
      <c r="M323" s="516">
        <f t="shared" si="27"/>
        <v>0</v>
      </c>
      <c r="N323" s="521"/>
      <c r="O323" s="516">
        <f t="shared" si="28"/>
        <v>0</v>
      </c>
      <c r="P323" s="516">
        <f t="shared" si="29"/>
        <v>0</v>
      </c>
      <c r="Q323" s="479"/>
    </row>
    <row r="324" spans="3:17">
      <c r="C324" s="512">
        <f>IF(D270="","-",+C323+1)</f>
        <v>2061</v>
      </c>
      <c r="D324" s="477">
        <f t="shared" si="30"/>
        <v>0</v>
      </c>
      <c r="E324" s="519">
        <f t="shared" si="31"/>
        <v>0</v>
      </c>
      <c r="F324" s="519">
        <f t="shared" si="24"/>
        <v>0</v>
      </c>
      <c r="G324" s="477">
        <f t="shared" si="25"/>
        <v>0</v>
      </c>
      <c r="H324" s="513">
        <f>+J271*G324+E324</f>
        <v>0</v>
      </c>
      <c r="I324" s="520">
        <f>+J272*G324+E324</f>
        <v>0</v>
      </c>
      <c r="J324" s="516">
        <f t="shared" si="26"/>
        <v>0</v>
      </c>
      <c r="K324" s="516"/>
      <c r="L324" s="521"/>
      <c r="M324" s="516">
        <f t="shared" si="27"/>
        <v>0</v>
      </c>
      <c r="N324" s="521"/>
      <c r="O324" s="516">
        <f t="shared" si="28"/>
        <v>0</v>
      </c>
      <c r="P324" s="516">
        <f t="shared" si="29"/>
        <v>0</v>
      </c>
      <c r="Q324" s="479"/>
    </row>
    <row r="325" spans="3:17">
      <c r="C325" s="512">
        <f>IF(D270="","-",+C324+1)</f>
        <v>2062</v>
      </c>
      <c r="D325" s="477">
        <f t="shared" si="30"/>
        <v>0</v>
      </c>
      <c r="E325" s="519">
        <f t="shared" si="31"/>
        <v>0</v>
      </c>
      <c r="F325" s="519">
        <f t="shared" si="24"/>
        <v>0</v>
      </c>
      <c r="G325" s="477">
        <f t="shared" si="25"/>
        <v>0</v>
      </c>
      <c r="H325" s="513">
        <f>+J271*G325+E325</f>
        <v>0</v>
      </c>
      <c r="I325" s="520">
        <f>+J272*G325+E325</f>
        <v>0</v>
      </c>
      <c r="J325" s="516">
        <f t="shared" si="26"/>
        <v>0</v>
      </c>
      <c r="K325" s="516"/>
      <c r="L325" s="521"/>
      <c r="M325" s="516">
        <f t="shared" si="27"/>
        <v>0</v>
      </c>
      <c r="N325" s="521"/>
      <c r="O325" s="516">
        <f t="shared" si="28"/>
        <v>0</v>
      </c>
      <c r="P325" s="516">
        <f t="shared" si="29"/>
        <v>0</v>
      </c>
      <c r="Q325" s="479"/>
    </row>
    <row r="326" spans="3:17">
      <c r="C326" s="512">
        <f>IF(D270="","-",+C325+1)</f>
        <v>2063</v>
      </c>
      <c r="D326" s="477">
        <f t="shared" si="30"/>
        <v>0</v>
      </c>
      <c r="E326" s="519">
        <f t="shared" si="31"/>
        <v>0</v>
      </c>
      <c r="F326" s="519">
        <f t="shared" si="24"/>
        <v>0</v>
      </c>
      <c r="G326" s="477">
        <f t="shared" si="25"/>
        <v>0</v>
      </c>
      <c r="H326" s="513">
        <f>+J271*G326+E326</f>
        <v>0</v>
      </c>
      <c r="I326" s="520">
        <f>+J272*G326+E326</f>
        <v>0</v>
      </c>
      <c r="J326" s="516">
        <f t="shared" si="26"/>
        <v>0</v>
      </c>
      <c r="K326" s="516"/>
      <c r="L326" s="521"/>
      <c r="M326" s="516">
        <f t="shared" si="27"/>
        <v>0</v>
      </c>
      <c r="N326" s="521"/>
      <c r="O326" s="516">
        <f t="shared" si="28"/>
        <v>0</v>
      </c>
      <c r="P326" s="516">
        <f t="shared" si="29"/>
        <v>0</v>
      </c>
      <c r="Q326" s="479"/>
    </row>
    <row r="327" spans="3:17">
      <c r="C327" s="512">
        <f>IF(D270="","-",+C326+1)</f>
        <v>2064</v>
      </c>
      <c r="D327" s="477">
        <f t="shared" si="30"/>
        <v>0</v>
      </c>
      <c r="E327" s="519">
        <f t="shared" si="31"/>
        <v>0</v>
      </c>
      <c r="F327" s="519">
        <f t="shared" si="24"/>
        <v>0</v>
      </c>
      <c r="G327" s="477">
        <f t="shared" si="25"/>
        <v>0</v>
      </c>
      <c r="H327" s="513">
        <f>+J271*G327+E327</f>
        <v>0</v>
      </c>
      <c r="I327" s="520">
        <f>+J272*G327+E327</f>
        <v>0</v>
      </c>
      <c r="J327" s="516">
        <f t="shared" si="26"/>
        <v>0</v>
      </c>
      <c r="K327" s="516"/>
      <c r="L327" s="521"/>
      <c r="M327" s="516">
        <f t="shared" si="27"/>
        <v>0</v>
      </c>
      <c r="N327" s="521"/>
      <c r="O327" s="516">
        <f t="shared" si="28"/>
        <v>0</v>
      </c>
      <c r="P327" s="516">
        <f t="shared" si="29"/>
        <v>0</v>
      </c>
      <c r="Q327" s="479"/>
    </row>
    <row r="328" spans="3:17">
      <c r="C328" s="512">
        <f>IF(D270="","-",+C327+1)</f>
        <v>2065</v>
      </c>
      <c r="D328" s="477">
        <f t="shared" si="30"/>
        <v>0</v>
      </c>
      <c r="E328" s="519">
        <f t="shared" si="31"/>
        <v>0</v>
      </c>
      <c r="F328" s="519">
        <f t="shared" si="24"/>
        <v>0</v>
      </c>
      <c r="G328" s="477">
        <f t="shared" si="25"/>
        <v>0</v>
      </c>
      <c r="H328" s="513">
        <f>+J271*G328+E328</f>
        <v>0</v>
      </c>
      <c r="I328" s="520">
        <f>+J272*G328+E328</f>
        <v>0</v>
      </c>
      <c r="J328" s="516">
        <f t="shared" si="26"/>
        <v>0</v>
      </c>
      <c r="K328" s="516"/>
      <c r="L328" s="521"/>
      <c r="M328" s="516">
        <f t="shared" si="27"/>
        <v>0</v>
      </c>
      <c r="N328" s="521"/>
      <c r="O328" s="516">
        <f t="shared" si="28"/>
        <v>0</v>
      </c>
      <c r="P328" s="516">
        <f t="shared" si="29"/>
        <v>0</v>
      </c>
      <c r="Q328" s="479"/>
    </row>
    <row r="329" spans="3:17">
      <c r="C329" s="512">
        <f>IF(D270="","-",+C328+1)</f>
        <v>2066</v>
      </c>
      <c r="D329" s="477">
        <f t="shared" si="30"/>
        <v>0</v>
      </c>
      <c r="E329" s="519">
        <f t="shared" si="31"/>
        <v>0</v>
      </c>
      <c r="F329" s="519">
        <f t="shared" si="24"/>
        <v>0</v>
      </c>
      <c r="G329" s="477">
        <f t="shared" si="25"/>
        <v>0</v>
      </c>
      <c r="H329" s="513">
        <f>+J271*G329+E329</f>
        <v>0</v>
      </c>
      <c r="I329" s="520">
        <f>+J272*G329+E329</f>
        <v>0</v>
      </c>
      <c r="J329" s="516">
        <f t="shared" si="26"/>
        <v>0</v>
      </c>
      <c r="K329" s="516"/>
      <c r="L329" s="521"/>
      <c r="M329" s="516">
        <f t="shared" si="27"/>
        <v>0</v>
      </c>
      <c r="N329" s="521"/>
      <c r="O329" s="516">
        <f t="shared" si="28"/>
        <v>0</v>
      </c>
      <c r="P329" s="516">
        <f t="shared" si="29"/>
        <v>0</v>
      </c>
      <c r="Q329" s="479"/>
    </row>
    <row r="330" spans="3:17">
      <c r="C330" s="512">
        <f>IF(D270="","-",+C329+1)</f>
        <v>2067</v>
      </c>
      <c r="D330" s="477">
        <f t="shared" si="30"/>
        <v>0</v>
      </c>
      <c r="E330" s="519">
        <f t="shared" si="31"/>
        <v>0</v>
      </c>
      <c r="F330" s="519">
        <f t="shared" si="24"/>
        <v>0</v>
      </c>
      <c r="G330" s="477">
        <f t="shared" si="25"/>
        <v>0</v>
      </c>
      <c r="H330" s="513">
        <f>+J271*G330+E330</f>
        <v>0</v>
      </c>
      <c r="I330" s="520">
        <f>+J272*G330+E330</f>
        <v>0</v>
      </c>
      <c r="J330" s="516">
        <f t="shared" si="26"/>
        <v>0</v>
      </c>
      <c r="K330" s="516"/>
      <c r="L330" s="521"/>
      <c r="M330" s="516">
        <f t="shared" si="27"/>
        <v>0</v>
      </c>
      <c r="N330" s="521"/>
      <c r="O330" s="516">
        <f t="shared" si="28"/>
        <v>0</v>
      </c>
      <c r="P330" s="516">
        <f t="shared" si="29"/>
        <v>0</v>
      </c>
      <c r="Q330" s="479"/>
    </row>
    <row r="331" spans="3:17">
      <c r="C331" s="512">
        <f>IF(D270="","-",+C330+1)</f>
        <v>2068</v>
      </c>
      <c r="D331" s="477">
        <f t="shared" si="30"/>
        <v>0</v>
      </c>
      <c r="E331" s="519">
        <f t="shared" si="31"/>
        <v>0</v>
      </c>
      <c r="F331" s="519">
        <f t="shared" si="24"/>
        <v>0</v>
      </c>
      <c r="G331" s="477">
        <f t="shared" si="25"/>
        <v>0</v>
      </c>
      <c r="H331" s="513">
        <f>+J271*G331+E331</f>
        <v>0</v>
      </c>
      <c r="I331" s="520">
        <f>+J272*G331+E331</f>
        <v>0</v>
      </c>
      <c r="J331" s="516">
        <f t="shared" si="26"/>
        <v>0</v>
      </c>
      <c r="K331" s="516"/>
      <c r="L331" s="521"/>
      <c r="M331" s="516">
        <f t="shared" si="27"/>
        <v>0</v>
      </c>
      <c r="N331" s="521"/>
      <c r="O331" s="516">
        <f t="shared" si="28"/>
        <v>0</v>
      </c>
      <c r="P331" s="516">
        <f t="shared" si="29"/>
        <v>0</v>
      </c>
      <c r="Q331" s="479"/>
    </row>
    <row r="332" spans="3:17">
      <c r="C332" s="512">
        <f>IF(D270="","-",+C331+1)</f>
        <v>2069</v>
      </c>
      <c r="D332" s="477">
        <f t="shared" si="30"/>
        <v>0</v>
      </c>
      <c r="E332" s="519">
        <f t="shared" si="31"/>
        <v>0</v>
      </c>
      <c r="F332" s="519">
        <f t="shared" si="24"/>
        <v>0</v>
      </c>
      <c r="G332" s="477">
        <f t="shared" si="25"/>
        <v>0</v>
      </c>
      <c r="H332" s="513">
        <f>+J271*G332+E332</f>
        <v>0</v>
      </c>
      <c r="I332" s="520">
        <f>+J272*G332+E332</f>
        <v>0</v>
      </c>
      <c r="J332" s="516">
        <f t="shared" si="26"/>
        <v>0</v>
      </c>
      <c r="K332" s="516"/>
      <c r="L332" s="521"/>
      <c r="M332" s="516">
        <f t="shared" si="27"/>
        <v>0</v>
      </c>
      <c r="N332" s="521"/>
      <c r="O332" s="516">
        <f t="shared" si="28"/>
        <v>0</v>
      </c>
      <c r="P332" s="516">
        <f t="shared" si="29"/>
        <v>0</v>
      </c>
      <c r="Q332" s="479"/>
    </row>
    <row r="333" spans="3:17">
      <c r="C333" s="512">
        <f>IF(D270="","-",+C332+1)</f>
        <v>2070</v>
      </c>
      <c r="D333" s="477">
        <f t="shared" si="30"/>
        <v>0</v>
      </c>
      <c r="E333" s="519">
        <f t="shared" si="31"/>
        <v>0</v>
      </c>
      <c r="F333" s="519">
        <f t="shared" si="24"/>
        <v>0</v>
      </c>
      <c r="G333" s="477">
        <f t="shared" si="25"/>
        <v>0</v>
      </c>
      <c r="H333" s="513">
        <f>+J271*G333+E333</f>
        <v>0</v>
      </c>
      <c r="I333" s="520">
        <f>+J272*G333+E333</f>
        <v>0</v>
      </c>
      <c r="J333" s="516">
        <f t="shared" si="26"/>
        <v>0</v>
      </c>
      <c r="K333" s="516"/>
      <c r="L333" s="521"/>
      <c r="M333" s="516">
        <f t="shared" si="27"/>
        <v>0</v>
      </c>
      <c r="N333" s="521"/>
      <c r="O333" s="516">
        <f t="shared" si="28"/>
        <v>0</v>
      </c>
      <c r="P333" s="516">
        <f t="shared" si="29"/>
        <v>0</v>
      </c>
      <c r="Q333" s="479"/>
    </row>
    <row r="334" spans="3:17">
      <c r="C334" s="512">
        <f>IF(D270="","-",+C333+1)</f>
        <v>2071</v>
      </c>
      <c r="D334" s="477">
        <f t="shared" si="30"/>
        <v>0</v>
      </c>
      <c r="E334" s="973">
        <f t="shared" si="31"/>
        <v>0</v>
      </c>
      <c r="F334" s="551">
        <f t="shared" si="24"/>
        <v>0</v>
      </c>
      <c r="G334" s="477">
        <f t="shared" si="25"/>
        <v>0</v>
      </c>
      <c r="H334" s="513">
        <f>+J271*G334+E334</f>
        <v>0</v>
      </c>
      <c r="I334" s="520">
        <f>+J272*G334+E334</f>
        <v>0</v>
      </c>
      <c r="J334" s="516">
        <f t="shared" si="26"/>
        <v>0</v>
      </c>
      <c r="K334" s="516"/>
      <c r="L334" s="521"/>
      <c r="M334" s="516">
        <f t="shared" si="27"/>
        <v>0</v>
      </c>
      <c r="N334" s="521"/>
      <c r="O334" s="516">
        <f t="shared" si="28"/>
        <v>0</v>
      </c>
      <c r="P334" s="516">
        <f t="shared" si="29"/>
        <v>0</v>
      </c>
      <c r="Q334" s="479"/>
    </row>
    <row r="335" spans="3:17" ht="13.5" thickBot="1">
      <c r="C335" s="523">
        <f>IF(D270="","-",+C334+1)</f>
        <v>2072</v>
      </c>
      <c r="D335" s="524">
        <f t="shared" si="30"/>
        <v>0</v>
      </c>
      <c r="E335" s="525">
        <f t="shared" si="31"/>
        <v>0</v>
      </c>
      <c r="F335" s="525">
        <f t="shared" si="24"/>
        <v>0</v>
      </c>
      <c r="G335" s="524">
        <f t="shared" si="25"/>
        <v>0</v>
      </c>
      <c r="H335" s="526">
        <f>+J271*G335+E335</f>
        <v>0</v>
      </c>
      <c r="I335" s="526">
        <f>+J272*G335+E335</f>
        <v>0</v>
      </c>
      <c r="J335" s="527">
        <f t="shared" si="26"/>
        <v>0</v>
      </c>
      <c r="K335" s="516"/>
      <c r="L335" s="528"/>
      <c r="M335" s="527">
        <f t="shared" si="27"/>
        <v>0</v>
      </c>
      <c r="N335" s="528"/>
      <c r="O335" s="527">
        <f t="shared" si="28"/>
        <v>0</v>
      </c>
      <c r="P335" s="527">
        <f t="shared" si="29"/>
        <v>0</v>
      </c>
      <c r="Q335" s="479"/>
    </row>
    <row r="336" spans="3:17">
      <c r="C336" s="477" t="s">
        <v>289</v>
      </c>
      <c r="D336" s="475"/>
      <c r="E336" s="475">
        <f>SUM(E276:E335)</f>
        <v>21957101.48</v>
      </c>
      <c r="F336" s="475"/>
      <c r="G336" s="475"/>
      <c r="H336" s="475">
        <f>SUM(H276:H335)</f>
        <v>69114703.592740238</v>
      </c>
      <c r="I336" s="475">
        <f>SUM(I276:I335)</f>
        <v>69114703.592740238</v>
      </c>
      <c r="J336" s="475">
        <f>SUM(J276:J335)</f>
        <v>0</v>
      </c>
      <c r="K336" s="475"/>
      <c r="L336" s="475"/>
      <c r="M336" s="475"/>
      <c r="N336" s="475"/>
      <c r="O336" s="475"/>
      <c r="Q336" s="475"/>
    </row>
    <row r="337" spans="1:17">
      <c r="D337" s="82"/>
      <c r="E337" s="4"/>
      <c r="F337" s="4"/>
      <c r="G337" s="4"/>
      <c r="H337" s="4"/>
      <c r="I337" s="460"/>
      <c r="J337" s="460"/>
      <c r="K337" s="475"/>
      <c r="L337" s="460"/>
      <c r="M337" s="460"/>
      <c r="N337" s="460"/>
      <c r="O337" s="460"/>
      <c r="Q337" s="475"/>
    </row>
    <row r="338" spans="1:17">
      <c r="C338" s="4" t="s">
        <v>596</v>
      </c>
      <c r="D338" s="82"/>
      <c r="E338" s="4"/>
      <c r="F338" s="4"/>
      <c r="G338" s="4"/>
      <c r="H338" s="4"/>
      <c r="I338" s="460"/>
      <c r="J338" s="460"/>
      <c r="K338" s="475"/>
      <c r="L338" s="460"/>
      <c r="M338" s="460"/>
      <c r="N338" s="460"/>
      <c r="O338" s="460"/>
      <c r="Q338" s="475"/>
    </row>
    <row r="339" spans="1:17">
      <c r="D339" s="82"/>
      <c r="E339" s="4"/>
      <c r="F339" s="4"/>
      <c r="G339" s="4"/>
      <c r="H339" s="4"/>
      <c r="I339" s="460"/>
      <c r="J339" s="460"/>
      <c r="K339" s="475"/>
      <c r="L339" s="460"/>
      <c r="M339" s="460"/>
      <c r="N339" s="460"/>
      <c r="O339" s="460"/>
      <c r="Q339" s="475"/>
    </row>
    <row r="340" spans="1:17">
      <c r="C340" s="4" t="s">
        <v>597</v>
      </c>
      <c r="D340" s="477"/>
      <c r="E340" s="477"/>
      <c r="F340" s="477"/>
      <c r="G340" s="477"/>
      <c r="H340" s="475"/>
      <c r="I340" s="475"/>
      <c r="J340" s="479"/>
      <c r="K340" s="479"/>
      <c r="L340" s="479"/>
      <c r="M340" s="479"/>
      <c r="N340" s="479"/>
      <c r="O340" s="479"/>
      <c r="Q340" s="479"/>
    </row>
    <row r="341" spans="1:17">
      <c r="C341" s="4" t="s">
        <v>477</v>
      </c>
      <c r="D341" s="477"/>
      <c r="E341" s="477"/>
      <c r="F341" s="477"/>
      <c r="G341" s="477"/>
      <c r="H341" s="475"/>
      <c r="I341" s="475"/>
      <c r="J341" s="479"/>
      <c r="K341" s="479"/>
      <c r="L341" s="479"/>
      <c r="M341" s="479"/>
      <c r="N341" s="479"/>
      <c r="O341" s="479"/>
      <c r="Q341" s="479"/>
    </row>
    <row r="342" spans="1:17">
      <c r="C342" s="4" t="s">
        <v>290</v>
      </c>
      <c r="D342" s="477"/>
      <c r="E342" s="477"/>
      <c r="F342" s="477"/>
      <c r="G342" s="477"/>
      <c r="H342" s="475"/>
      <c r="I342" s="475"/>
      <c r="J342" s="479"/>
      <c r="K342" s="479"/>
      <c r="L342" s="479"/>
      <c r="M342" s="479"/>
      <c r="N342" s="479"/>
      <c r="O342" s="479"/>
      <c r="Q342" s="479"/>
    </row>
    <row r="343" spans="1:17">
      <c r="C343" s="478"/>
      <c r="D343" s="477"/>
      <c r="E343" s="477"/>
      <c r="F343" s="477"/>
      <c r="G343" s="477"/>
      <c r="H343" s="475"/>
      <c r="I343" s="475"/>
      <c r="J343" s="479"/>
      <c r="K343" s="479"/>
      <c r="L343" s="479"/>
      <c r="M343" s="479"/>
      <c r="N343" s="479"/>
      <c r="O343" s="479"/>
      <c r="Q343" s="479"/>
    </row>
    <row r="344" spans="1:17" ht="20.25">
      <c r="A344" s="419" t="s">
        <v>763</v>
      </c>
      <c r="B344" s="4"/>
      <c r="C344" s="4"/>
      <c r="D344" s="82"/>
      <c r="E344" s="4"/>
      <c r="F344" s="84"/>
      <c r="G344" s="84"/>
      <c r="H344" s="4"/>
      <c r="I344" s="460"/>
      <c r="L344" s="11"/>
      <c r="M344" s="11"/>
      <c r="N344" s="11"/>
      <c r="O344" s="11" t="str">
        <f>"Page "&amp;SUM(Q$3:Q344)&amp;" of "</f>
        <v xml:space="preserve">Page 7 of </v>
      </c>
      <c r="P344" s="420">
        <f>COUNT(Q$8:Q$58123)</f>
        <v>15</v>
      </c>
      <c r="Q344" s="547">
        <v>1</v>
      </c>
    </row>
    <row r="345" spans="1:17">
      <c r="B345" s="4"/>
      <c r="C345" s="4"/>
      <c r="D345" s="82"/>
      <c r="E345" s="4"/>
      <c r="F345" s="4"/>
      <c r="G345" s="4"/>
      <c r="H345" s="4"/>
      <c r="I345" s="460"/>
      <c r="J345" s="4"/>
      <c r="K345" s="4"/>
    </row>
    <row r="346" spans="1:17" ht="18">
      <c r="B346" s="421" t="s">
        <v>175</v>
      </c>
      <c r="C346" s="480" t="s">
        <v>291</v>
      </c>
      <c r="D346" s="82"/>
      <c r="E346" s="4"/>
      <c r="F346" s="4"/>
      <c r="G346" s="4"/>
      <c r="H346" s="4"/>
      <c r="I346" s="460"/>
      <c r="J346" s="460"/>
      <c r="K346" s="475"/>
      <c r="L346" s="460"/>
      <c r="M346" s="460"/>
      <c r="N346" s="460"/>
      <c r="O346" s="460"/>
      <c r="Q346" s="475"/>
    </row>
    <row r="347" spans="1:17" ht="18.75">
      <c r="B347" s="421"/>
      <c r="C347" s="13"/>
      <c r="D347" s="82"/>
      <c r="E347" s="4"/>
      <c r="F347" s="4"/>
      <c r="G347" s="4"/>
      <c r="H347" s="4"/>
      <c r="I347" s="460"/>
      <c r="J347" s="460"/>
      <c r="K347" s="475"/>
      <c r="L347" s="460"/>
      <c r="M347" s="460"/>
      <c r="N347" s="460"/>
      <c r="O347" s="460"/>
      <c r="Q347" s="475"/>
    </row>
    <row r="348" spans="1:17" ht="18.75">
      <c r="B348" s="421"/>
      <c r="C348" s="13" t="s">
        <v>292</v>
      </c>
      <c r="D348" s="82"/>
      <c r="E348" s="4"/>
      <c r="F348" s="4"/>
      <c r="G348" s="4"/>
      <c r="H348" s="4"/>
      <c r="I348" s="460"/>
      <c r="J348" s="460"/>
      <c r="K348" s="475"/>
      <c r="L348" s="460"/>
      <c r="M348" s="460"/>
      <c r="N348" s="460"/>
      <c r="O348" s="460"/>
      <c r="Q348" s="475"/>
    </row>
    <row r="349" spans="1:17" ht="15.75" thickBot="1">
      <c r="C349" s="254"/>
      <c r="D349" s="82"/>
      <c r="E349" s="4"/>
      <c r="F349" s="4"/>
      <c r="G349" s="4"/>
      <c r="H349" s="4"/>
      <c r="I349" s="460"/>
      <c r="J349" s="460"/>
      <c r="K349" s="475"/>
      <c r="L349" s="460"/>
      <c r="M349" s="460"/>
      <c r="N349" s="460"/>
      <c r="O349" s="460"/>
      <c r="Q349" s="475"/>
    </row>
    <row r="350" spans="1:17" ht="15.75">
      <c r="C350" s="422" t="s">
        <v>293</v>
      </c>
      <c r="D350" s="82"/>
      <c r="E350" s="4"/>
      <c r="F350" s="4"/>
      <c r="G350" s="4"/>
      <c r="H350" s="645"/>
      <c r="I350" s="4" t="s">
        <v>272</v>
      </c>
      <c r="J350" s="4"/>
      <c r="K350" s="4"/>
      <c r="L350" s="548">
        <f>+J356</f>
        <v>2025</v>
      </c>
      <c r="M350" s="532" t="s">
        <v>255</v>
      </c>
      <c r="N350" s="532" t="s">
        <v>256</v>
      </c>
      <c r="O350" s="533" t="s">
        <v>257</v>
      </c>
    </row>
    <row r="351" spans="1:17" ht="15.75">
      <c r="C351" s="422"/>
      <c r="D351" s="82"/>
      <c r="E351" s="4"/>
      <c r="F351" s="4"/>
      <c r="H351" s="4"/>
      <c r="I351" s="484"/>
      <c r="J351" s="484"/>
      <c r="K351" s="485"/>
      <c r="L351" s="549" t="s">
        <v>456</v>
      </c>
      <c r="M351" s="550">
        <f>VLOOKUP(J356,C363:P422,10)</f>
        <v>130660.27693898692</v>
      </c>
      <c r="N351" s="550">
        <f>VLOOKUP(J356,C363:P422,12)</f>
        <v>130660.27693898692</v>
      </c>
      <c r="O351" s="551">
        <f>+N351-M351</f>
        <v>0</v>
      </c>
      <c r="Q351" s="485"/>
    </row>
    <row r="352" spans="1:17">
      <c r="C352" s="487" t="s">
        <v>294</v>
      </c>
      <c r="D352" s="1274" t="s">
        <v>935</v>
      </c>
      <c r="E352" s="1275"/>
      <c r="F352" s="1275"/>
      <c r="G352" s="1275"/>
      <c r="H352" s="1275"/>
      <c r="I352" s="1275"/>
      <c r="J352" s="460"/>
      <c r="K352" s="475"/>
      <c r="L352" s="549" t="s">
        <v>457</v>
      </c>
      <c r="M352" s="552">
        <f>VLOOKUP(J356,C363:P422,6)</f>
        <v>124649.59260934126</v>
      </c>
      <c r="N352" s="552">
        <f>VLOOKUP(J356,C363:P422,7)</f>
        <v>124649.59260934126</v>
      </c>
      <c r="O352" s="553">
        <f>+N352-M352</f>
        <v>0</v>
      </c>
      <c r="Q352" s="475"/>
    </row>
    <row r="353" spans="1:17" ht="13.5" thickBot="1">
      <c r="C353" s="489"/>
      <c r="D353" s="1275"/>
      <c r="E353" s="1275"/>
      <c r="F353" s="1275"/>
      <c r="G353" s="1275"/>
      <c r="H353" s="1275"/>
      <c r="I353" s="1275"/>
      <c r="J353" s="460"/>
      <c r="K353" s="475"/>
      <c r="L353" s="499" t="s">
        <v>458</v>
      </c>
      <c r="M353" s="554">
        <f>+M352-M351</f>
        <v>-6010.6843296456645</v>
      </c>
      <c r="N353" s="554">
        <f>+N352-N351</f>
        <v>-6010.6843296456645</v>
      </c>
      <c r="O353" s="555">
        <f>+O352-O351</f>
        <v>0</v>
      </c>
      <c r="Q353" s="475"/>
    </row>
    <row r="354" spans="1:17" ht="13.5" thickBot="1">
      <c r="C354" s="489"/>
      <c r="D354" s="4"/>
      <c r="E354" s="490"/>
      <c r="F354" s="490"/>
      <c r="G354" s="490"/>
      <c r="H354" s="490"/>
      <c r="I354" s="490"/>
      <c r="J354" s="490"/>
      <c r="K354" s="490"/>
      <c r="L354" s="490"/>
      <c r="M354" s="490"/>
      <c r="N354" s="490"/>
      <c r="O354" s="490"/>
      <c r="Q354" s="490"/>
    </row>
    <row r="355" spans="1:17" ht="13.5" thickBot="1">
      <c r="C355" s="491" t="s">
        <v>295</v>
      </c>
      <c r="D355" s="492"/>
      <c r="E355" s="492"/>
      <c r="F355" s="492"/>
      <c r="G355" s="492"/>
      <c r="H355" s="492"/>
      <c r="I355" s="492"/>
      <c r="J355" s="492"/>
      <c r="Q355"/>
    </row>
    <row r="356" spans="1:17" ht="15">
      <c r="A356" s="978"/>
      <c r="C356" s="494" t="s">
        <v>273</v>
      </c>
      <c r="D356" s="946">
        <v>1112262.6599999999</v>
      </c>
      <c r="E356" s="4" t="s">
        <v>274</v>
      </c>
      <c r="H356" s="82"/>
      <c r="I356" s="82"/>
      <c r="J356" s="495">
        <f>$J$95</f>
        <v>2025</v>
      </c>
      <c r="K356" s="138"/>
      <c r="L356" s="1284" t="s">
        <v>275</v>
      </c>
      <c r="M356" s="1284"/>
      <c r="N356" s="1284"/>
      <c r="O356" s="1284"/>
      <c r="Q356" s="138"/>
    </row>
    <row r="357" spans="1:17">
      <c r="A357" s="978"/>
      <c r="C357" s="494" t="s">
        <v>276</v>
      </c>
      <c r="D357" s="647">
        <v>2016</v>
      </c>
      <c r="E357" s="494" t="s">
        <v>277</v>
      </c>
      <c r="F357" s="82"/>
      <c r="G357" s="82"/>
      <c r="I357"/>
      <c r="J357" s="650">
        <v>0</v>
      </c>
      <c r="K357" s="496"/>
      <c r="L357" s="475" t="s">
        <v>476</v>
      </c>
      <c r="Q357" s="496"/>
    </row>
    <row r="358" spans="1:17">
      <c r="A358" s="978"/>
      <c r="C358" s="494" t="s">
        <v>278</v>
      </c>
      <c r="D358" s="946">
        <v>10</v>
      </c>
      <c r="E358" s="494" t="s">
        <v>279</v>
      </c>
      <c r="F358" s="82"/>
      <c r="G358" s="82"/>
      <c r="I358"/>
      <c r="J358" s="497">
        <f>$F$70</f>
        <v>0.11108872081308177</v>
      </c>
      <c r="K358" s="84"/>
      <c r="L358" s="4" t="str">
        <f>"          INPUT TRUE-UP ARR (WITH &amp; WITHOUT INCENTIVES) FROM EACH PRIOR YEAR"</f>
        <v xml:space="preserve">          INPUT TRUE-UP ARR (WITH &amp; WITHOUT INCENTIVES) FROM EACH PRIOR YEAR</v>
      </c>
      <c r="Q358" s="84"/>
    </row>
    <row r="359" spans="1:17">
      <c r="A359" s="978"/>
      <c r="C359" s="494" t="s">
        <v>280</v>
      </c>
      <c r="D359" s="498">
        <f>H79</f>
        <v>38</v>
      </c>
      <c r="E359" s="494" t="s">
        <v>281</v>
      </c>
      <c r="F359" s="82"/>
      <c r="G359" s="82"/>
      <c r="I359"/>
      <c r="J359" s="497">
        <f>IF(H350="",J358,$F$69)</f>
        <v>0.11108872081308177</v>
      </c>
      <c r="K359" s="84"/>
      <c r="L359" s="4" t="s">
        <v>363</v>
      </c>
      <c r="M359" s="84"/>
      <c r="N359" s="84"/>
      <c r="O359" s="84"/>
      <c r="Q359" s="84"/>
    </row>
    <row r="360" spans="1:17" ht="13.5" thickBot="1">
      <c r="A360" s="978"/>
      <c r="C360" s="494" t="s">
        <v>282</v>
      </c>
      <c r="D360" s="649" t="s">
        <v>930</v>
      </c>
      <c r="E360" s="499" t="s">
        <v>283</v>
      </c>
      <c r="F360" s="500"/>
      <c r="G360" s="500"/>
      <c r="H360" s="501"/>
      <c r="I360" s="501"/>
      <c r="J360" s="488">
        <f>IF(D356=0,0,D356/D359)</f>
        <v>29270.069999999996</v>
      </c>
      <c r="K360" s="475"/>
      <c r="L360" s="475" t="s">
        <v>364</v>
      </c>
      <c r="M360" s="475"/>
      <c r="N360" s="475"/>
      <c r="O360" s="475"/>
      <c r="Q360" s="475"/>
    </row>
    <row r="361" spans="1:17" ht="38.25">
      <c r="A361" s="12"/>
      <c r="B361" s="12"/>
      <c r="C361" s="502" t="s">
        <v>273</v>
      </c>
      <c r="D361" s="503" t="s">
        <v>284</v>
      </c>
      <c r="E361" s="504" t="s">
        <v>285</v>
      </c>
      <c r="F361" s="503" t="s">
        <v>286</v>
      </c>
      <c r="G361" s="503" t="s">
        <v>459</v>
      </c>
      <c r="H361" s="504" t="s">
        <v>357</v>
      </c>
      <c r="I361" s="505" t="s">
        <v>357</v>
      </c>
      <c r="J361" s="502" t="s">
        <v>296</v>
      </c>
      <c r="K361" s="506"/>
      <c r="L361" s="504" t="s">
        <v>359</v>
      </c>
      <c r="M361" s="504" t="s">
        <v>365</v>
      </c>
      <c r="N361" s="504" t="s">
        <v>359</v>
      </c>
      <c r="O361" s="504" t="s">
        <v>367</v>
      </c>
      <c r="P361" s="504" t="s">
        <v>287</v>
      </c>
      <c r="Q361" s="131"/>
    </row>
    <row r="362" spans="1:17" ht="13.5" thickBot="1">
      <c r="C362" s="507" t="s">
        <v>178</v>
      </c>
      <c r="D362" s="508" t="s">
        <v>179</v>
      </c>
      <c r="E362" s="507" t="s">
        <v>38</v>
      </c>
      <c r="F362" s="508" t="s">
        <v>179</v>
      </c>
      <c r="G362" s="508" t="s">
        <v>179</v>
      </c>
      <c r="H362" s="509" t="s">
        <v>299</v>
      </c>
      <c r="I362" s="510" t="s">
        <v>301</v>
      </c>
      <c r="J362" s="507" t="s">
        <v>390</v>
      </c>
      <c r="K362" s="511"/>
      <c r="L362" s="509" t="s">
        <v>288</v>
      </c>
      <c r="M362" s="509" t="s">
        <v>288</v>
      </c>
      <c r="N362" s="509" t="s">
        <v>468</v>
      </c>
      <c r="O362" s="509" t="s">
        <v>468</v>
      </c>
      <c r="P362" s="509" t="s">
        <v>468</v>
      </c>
      <c r="Q362" s="138"/>
    </row>
    <row r="363" spans="1:17">
      <c r="C363" s="512">
        <f>IF(D357= "","-",D357)</f>
        <v>2016</v>
      </c>
      <c r="D363" s="477">
        <f>+D356</f>
        <v>1112262.6599999999</v>
      </c>
      <c r="E363" s="513">
        <f>+J360/12*(12-D358)</f>
        <v>4878.3449999999993</v>
      </c>
      <c r="F363" s="556">
        <f t="shared" ref="F363:F422" si="32">+D363-E363</f>
        <v>1107384.3149999999</v>
      </c>
      <c r="G363" s="477">
        <f t="shared" ref="G363:G422" si="33">+(D363+F363)/2</f>
        <v>1109823.4874999998</v>
      </c>
      <c r="H363" s="514">
        <f>+J358*G363+E363</f>
        <v>128167.21655468823</v>
      </c>
      <c r="I363" s="515">
        <f>+J359*G363+E363</f>
        <v>128167.21655468823</v>
      </c>
      <c r="J363" s="516">
        <f t="shared" ref="J363:J422" si="34">+I363-H363</f>
        <v>0</v>
      </c>
      <c r="K363" s="516"/>
      <c r="L363" s="517">
        <v>226163</v>
      </c>
      <c r="M363" s="557">
        <f t="shared" ref="M363:M422" si="35">IF(L363&lt;&gt;0,+H363-L363,0)</f>
        <v>-97995.783445311768</v>
      </c>
      <c r="N363" s="517">
        <v>226163</v>
      </c>
      <c r="O363" s="557">
        <f t="shared" ref="O363:O422" si="36">IF(N363&lt;&gt;0,+I363-N363,0)</f>
        <v>-97995.783445311768</v>
      </c>
      <c r="P363" s="557">
        <f t="shared" ref="P363:P422" si="37">+O363-M363</f>
        <v>0</v>
      </c>
      <c r="Q363" s="479"/>
    </row>
    <row r="364" spans="1:17">
      <c r="C364" s="512">
        <f>IF(D357="","-",+C363+1)</f>
        <v>2017</v>
      </c>
      <c r="D364" s="477">
        <f t="shared" ref="D364:D422" si="38">F363</f>
        <v>1107384.3149999999</v>
      </c>
      <c r="E364" s="519">
        <f>IF(D364&gt;$J$360,$J$360,D364)</f>
        <v>29270.069999999996</v>
      </c>
      <c r="F364" s="519">
        <f t="shared" si="32"/>
        <v>1078114.2449999999</v>
      </c>
      <c r="G364" s="477">
        <f t="shared" si="33"/>
        <v>1092749.2799999998</v>
      </c>
      <c r="H364" s="513">
        <f>+J358*G364+E364</f>
        <v>150662.18968461611</v>
      </c>
      <c r="I364" s="520">
        <f>+J359*G364+E364</f>
        <v>150662.18968461611</v>
      </c>
      <c r="J364" s="516">
        <f t="shared" si="34"/>
        <v>0</v>
      </c>
      <c r="K364" s="516"/>
      <c r="L364" s="521">
        <v>7946</v>
      </c>
      <c r="M364" s="516">
        <f t="shared" si="35"/>
        <v>142716.18968461611</v>
      </c>
      <c r="N364" s="521">
        <v>7946</v>
      </c>
      <c r="O364" s="516">
        <f t="shared" si="36"/>
        <v>142716.18968461611</v>
      </c>
      <c r="P364" s="516">
        <f t="shared" si="37"/>
        <v>0</v>
      </c>
      <c r="Q364" s="479"/>
    </row>
    <row r="365" spans="1:17">
      <c r="C365" s="512">
        <f>IF(D357="","-",+C364+1)</f>
        <v>2018</v>
      </c>
      <c r="D365" s="477">
        <f t="shared" si="38"/>
        <v>1078114.2449999999</v>
      </c>
      <c r="E365" s="519">
        <f t="shared" ref="E365:E422" si="39">IF(D365&gt;$J$360,$J$360,D365)</f>
        <v>29270.069999999996</v>
      </c>
      <c r="F365" s="519">
        <f t="shared" si="32"/>
        <v>1048844.1749999998</v>
      </c>
      <c r="G365" s="477">
        <f t="shared" si="33"/>
        <v>1063479.21</v>
      </c>
      <c r="H365" s="513">
        <f>+J358*G365+E365</f>
        <v>147410.61505020675</v>
      </c>
      <c r="I365" s="520">
        <f>+J359*G365+E365</f>
        <v>147410.61505020675</v>
      </c>
      <c r="J365" s="516">
        <f t="shared" si="34"/>
        <v>0</v>
      </c>
      <c r="K365" s="516"/>
      <c r="L365" s="521">
        <v>18182</v>
      </c>
      <c r="M365" s="516">
        <f t="shared" si="35"/>
        <v>129228.61505020675</v>
      </c>
      <c r="N365" s="521">
        <v>18182</v>
      </c>
      <c r="O365" s="516">
        <f t="shared" si="36"/>
        <v>129228.61505020675</v>
      </c>
      <c r="P365" s="516">
        <f t="shared" si="37"/>
        <v>0</v>
      </c>
      <c r="Q365" s="479"/>
    </row>
    <row r="366" spans="1:17">
      <c r="C366" s="512">
        <f>IF(D357="","-",+C365+1)</f>
        <v>2019</v>
      </c>
      <c r="D366" s="477">
        <f t="shared" si="38"/>
        <v>1048844.1749999998</v>
      </c>
      <c r="E366" s="519">
        <f t="shared" si="39"/>
        <v>29270.069999999996</v>
      </c>
      <c r="F366" s="519">
        <f t="shared" si="32"/>
        <v>1019574.1049999999</v>
      </c>
      <c r="G366" s="477">
        <f t="shared" si="33"/>
        <v>1034209.1399999999</v>
      </c>
      <c r="H366" s="513">
        <f>+J358*G366+E366</f>
        <v>144159.04041579738</v>
      </c>
      <c r="I366" s="520">
        <f>+J359*G366+E366</f>
        <v>144159.04041579738</v>
      </c>
      <c r="J366" s="516">
        <f t="shared" si="34"/>
        <v>0</v>
      </c>
      <c r="K366" s="516"/>
      <c r="L366" s="521">
        <v>125630.51777107318</v>
      </c>
      <c r="M366" s="516">
        <f t="shared" si="35"/>
        <v>18528.522644724202</v>
      </c>
      <c r="N366" s="521">
        <v>125630.51777107318</v>
      </c>
      <c r="O366" s="516">
        <f t="shared" si="36"/>
        <v>18528.522644724202</v>
      </c>
      <c r="P366" s="516">
        <f t="shared" si="37"/>
        <v>0</v>
      </c>
      <c r="Q366" s="479"/>
    </row>
    <row r="367" spans="1:17">
      <c r="C367" s="512">
        <f>IF(D357="","-",+C366+1)</f>
        <v>2020</v>
      </c>
      <c r="D367" s="477">
        <f t="shared" si="38"/>
        <v>1019574.1049999999</v>
      </c>
      <c r="E367" s="519">
        <f t="shared" si="39"/>
        <v>29270.069999999996</v>
      </c>
      <c r="F367" s="519">
        <f t="shared" si="32"/>
        <v>990304.03499999992</v>
      </c>
      <c r="G367" s="477">
        <f t="shared" si="33"/>
        <v>1004939.0699999998</v>
      </c>
      <c r="H367" s="513">
        <f>+J358*G367+E367</f>
        <v>140907.46578138802</v>
      </c>
      <c r="I367" s="520">
        <f>+J359*G367+E367</f>
        <v>140907.46578138802</v>
      </c>
      <c r="J367" s="516">
        <f t="shared" si="34"/>
        <v>0</v>
      </c>
      <c r="K367" s="516"/>
      <c r="L367" s="521">
        <v>125733.2854472154</v>
      </c>
      <c r="M367" s="516">
        <f t="shared" si="35"/>
        <v>15174.180334172619</v>
      </c>
      <c r="N367" s="521">
        <v>125733.2854472154</v>
      </c>
      <c r="O367" s="516">
        <f t="shared" si="36"/>
        <v>15174.180334172619</v>
      </c>
      <c r="P367" s="516">
        <f t="shared" si="37"/>
        <v>0</v>
      </c>
      <c r="Q367" s="479"/>
    </row>
    <row r="368" spans="1:17">
      <c r="C368" s="512">
        <f>IF(D357="","-",+C367+1)</f>
        <v>2021</v>
      </c>
      <c r="D368" s="477">
        <f t="shared" si="38"/>
        <v>990304.03499999992</v>
      </c>
      <c r="E368" s="519">
        <f t="shared" si="39"/>
        <v>29270.069999999996</v>
      </c>
      <c r="F368" s="519">
        <f t="shared" si="32"/>
        <v>961033.96499999997</v>
      </c>
      <c r="G368" s="477">
        <f t="shared" si="33"/>
        <v>975669</v>
      </c>
      <c r="H368" s="513">
        <f>+J358*G368+E368</f>
        <v>137655.89114697868</v>
      </c>
      <c r="I368" s="520">
        <f>+J359*G368+E368</f>
        <v>137655.89114697868</v>
      </c>
      <c r="J368" s="516">
        <f t="shared" si="34"/>
        <v>0</v>
      </c>
      <c r="K368" s="516"/>
      <c r="L368" s="521">
        <v>124826.21130812721</v>
      </c>
      <c r="M368" s="516">
        <f t="shared" si="35"/>
        <v>12829.679838851473</v>
      </c>
      <c r="N368" s="521">
        <v>124826.21130812721</v>
      </c>
      <c r="O368" s="516">
        <f t="shared" si="36"/>
        <v>12829.679838851473</v>
      </c>
      <c r="P368" s="516">
        <f t="shared" si="37"/>
        <v>0</v>
      </c>
      <c r="Q368" s="479"/>
    </row>
    <row r="369" spans="3:17">
      <c r="C369" s="512">
        <f>IF(D357="","-",+C368+1)</f>
        <v>2022</v>
      </c>
      <c r="D369" s="477">
        <f t="shared" si="38"/>
        <v>961033.96499999997</v>
      </c>
      <c r="E369" s="519">
        <f t="shared" si="39"/>
        <v>29270.069999999996</v>
      </c>
      <c r="F369" s="519">
        <f t="shared" si="32"/>
        <v>931763.89500000002</v>
      </c>
      <c r="G369" s="477">
        <f t="shared" si="33"/>
        <v>946398.92999999993</v>
      </c>
      <c r="H369" s="513">
        <f>+J358*G369+E369</f>
        <v>134404.31651256932</v>
      </c>
      <c r="I369" s="520">
        <f>+J359*G369+E369</f>
        <v>134404.31651256932</v>
      </c>
      <c r="J369" s="516">
        <f t="shared" si="34"/>
        <v>0</v>
      </c>
      <c r="K369" s="516"/>
      <c r="L369" s="521">
        <v>127071.64259540786</v>
      </c>
      <c r="M369" s="516">
        <f t="shared" si="35"/>
        <v>7332.6739171614608</v>
      </c>
      <c r="N369" s="521">
        <v>127071.64259540786</v>
      </c>
      <c r="O369" s="516">
        <f t="shared" si="36"/>
        <v>7332.6739171614608</v>
      </c>
      <c r="P369" s="516">
        <f t="shared" si="37"/>
        <v>0</v>
      </c>
      <c r="Q369" s="479"/>
    </row>
    <row r="370" spans="3:17">
      <c r="C370" s="512">
        <f>IF(D357="","-",+C369+1)</f>
        <v>2023</v>
      </c>
      <c r="D370" s="477">
        <f t="shared" si="38"/>
        <v>931763.89500000002</v>
      </c>
      <c r="E370" s="519">
        <f t="shared" si="39"/>
        <v>29270.069999999996</v>
      </c>
      <c r="F370" s="519">
        <f t="shared" si="32"/>
        <v>902493.82500000007</v>
      </c>
      <c r="G370" s="477">
        <f t="shared" si="33"/>
        <v>917128.8600000001</v>
      </c>
      <c r="H370" s="513">
        <f>+J358*G370+E370</f>
        <v>131152.74187815996</v>
      </c>
      <c r="I370" s="520">
        <f>+J359*G370+E370</f>
        <v>131152.74187815996</v>
      </c>
      <c r="J370" s="516">
        <f t="shared" si="34"/>
        <v>0</v>
      </c>
      <c r="K370" s="516"/>
      <c r="L370" s="521">
        <v>135239.31019570923</v>
      </c>
      <c r="M370" s="516">
        <f t="shared" si="35"/>
        <v>-4086.5683175492741</v>
      </c>
      <c r="N370" s="521">
        <v>135239.31019570923</v>
      </c>
      <c r="O370" s="516">
        <f t="shared" si="36"/>
        <v>-4086.5683175492741</v>
      </c>
      <c r="P370" s="516">
        <f t="shared" si="37"/>
        <v>0</v>
      </c>
      <c r="Q370" s="479"/>
    </row>
    <row r="371" spans="3:17">
      <c r="C371" s="512">
        <f>IF(D357="","-",+C370+1)</f>
        <v>2024</v>
      </c>
      <c r="D371" s="477">
        <f t="shared" si="38"/>
        <v>902493.82500000007</v>
      </c>
      <c r="E371" s="519">
        <f t="shared" si="39"/>
        <v>29270.069999999996</v>
      </c>
      <c r="F371" s="519">
        <f t="shared" si="32"/>
        <v>873223.75500000012</v>
      </c>
      <c r="G371" s="477">
        <f t="shared" si="33"/>
        <v>887858.79</v>
      </c>
      <c r="H371" s="513">
        <f>+J358*G371+E371</f>
        <v>127901.16724375059</v>
      </c>
      <c r="I371" s="520">
        <f>+J359*G371+E371</f>
        <v>127901.16724375059</v>
      </c>
      <c r="J371" s="516">
        <f t="shared" si="34"/>
        <v>0</v>
      </c>
      <c r="K371" s="516"/>
      <c r="L371" s="521">
        <v>136431.19834484026</v>
      </c>
      <c r="M371" s="516">
        <f t="shared" si="35"/>
        <v>-8530.0311010896694</v>
      </c>
      <c r="N371" s="521">
        <v>136431.19834484026</v>
      </c>
      <c r="O371" s="516">
        <f t="shared" si="36"/>
        <v>-8530.0311010896694</v>
      </c>
      <c r="P371" s="516">
        <f t="shared" si="37"/>
        <v>0</v>
      </c>
      <c r="Q371" s="479"/>
    </row>
    <row r="372" spans="3:17">
      <c r="C372" s="512">
        <f>IF(D357="","-",+C371+1)</f>
        <v>2025</v>
      </c>
      <c r="D372" s="477">
        <f t="shared" si="38"/>
        <v>873223.75500000012</v>
      </c>
      <c r="E372" s="519">
        <f t="shared" si="39"/>
        <v>29270.069999999996</v>
      </c>
      <c r="F372" s="519">
        <f t="shared" si="32"/>
        <v>843953.68500000017</v>
      </c>
      <c r="G372" s="477">
        <f t="shared" si="33"/>
        <v>858588.7200000002</v>
      </c>
      <c r="H372" s="513">
        <f>+J358*G372+E372</f>
        <v>124649.59260934126</v>
      </c>
      <c r="I372" s="520">
        <f>+J359*G372+E372</f>
        <v>124649.59260934126</v>
      </c>
      <c r="J372" s="516">
        <f t="shared" si="34"/>
        <v>0</v>
      </c>
      <c r="K372" s="516"/>
      <c r="L372" s="521">
        <v>130660.27693898692</v>
      </c>
      <c r="M372" s="516">
        <f t="shared" si="35"/>
        <v>-6010.6843296456645</v>
      </c>
      <c r="N372" s="521">
        <v>130660.27693898692</v>
      </c>
      <c r="O372" s="516">
        <f t="shared" si="36"/>
        <v>-6010.6843296456645</v>
      </c>
      <c r="P372" s="516">
        <f t="shared" si="37"/>
        <v>0</v>
      </c>
      <c r="Q372" s="479"/>
    </row>
    <row r="373" spans="3:17">
      <c r="C373" s="512">
        <f>IF(D357="","-",+C372+1)</f>
        <v>2026</v>
      </c>
      <c r="D373" s="477">
        <f t="shared" si="38"/>
        <v>843953.68500000017</v>
      </c>
      <c r="E373" s="519">
        <f t="shared" si="39"/>
        <v>29270.069999999996</v>
      </c>
      <c r="F373" s="519">
        <f t="shared" si="32"/>
        <v>814683.61500000022</v>
      </c>
      <c r="G373" s="477">
        <f t="shared" si="33"/>
        <v>829318.65000000014</v>
      </c>
      <c r="H373" s="513">
        <f>+J358*G373+E373</f>
        <v>121398.01797493188</v>
      </c>
      <c r="I373" s="520">
        <f>+J359*G373+E373</f>
        <v>121398.01797493188</v>
      </c>
      <c r="J373" s="516">
        <f t="shared" si="34"/>
        <v>0</v>
      </c>
      <c r="K373" s="516"/>
      <c r="L373" s="521"/>
      <c r="M373" s="516">
        <f t="shared" si="35"/>
        <v>0</v>
      </c>
      <c r="N373" s="521"/>
      <c r="O373" s="516">
        <f t="shared" si="36"/>
        <v>0</v>
      </c>
      <c r="P373" s="516">
        <f t="shared" si="37"/>
        <v>0</v>
      </c>
      <c r="Q373" s="479"/>
    </row>
    <row r="374" spans="3:17">
      <c r="C374" s="512">
        <f>IF(D357="","-",+C373+1)</f>
        <v>2027</v>
      </c>
      <c r="D374" s="477">
        <f t="shared" si="38"/>
        <v>814683.61500000022</v>
      </c>
      <c r="E374" s="519">
        <f t="shared" si="39"/>
        <v>29270.069999999996</v>
      </c>
      <c r="F374" s="519">
        <f t="shared" si="32"/>
        <v>785413.54500000027</v>
      </c>
      <c r="G374" s="477">
        <f t="shared" si="33"/>
        <v>800048.58000000031</v>
      </c>
      <c r="H374" s="513">
        <f>+J358*G374+E374</f>
        <v>118146.44334052254</v>
      </c>
      <c r="I374" s="520">
        <f>+J359*G374+E374</f>
        <v>118146.44334052254</v>
      </c>
      <c r="J374" s="516">
        <f t="shared" si="34"/>
        <v>0</v>
      </c>
      <c r="K374" s="516"/>
      <c r="L374" s="521"/>
      <c r="M374" s="516">
        <f t="shared" si="35"/>
        <v>0</v>
      </c>
      <c r="N374" s="521"/>
      <c r="O374" s="516">
        <f t="shared" si="36"/>
        <v>0</v>
      </c>
      <c r="P374" s="516">
        <f t="shared" si="37"/>
        <v>0</v>
      </c>
      <c r="Q374" s="479"/>
    </row>
    <row r="375" spans="3:17">
      <c r="C375" s="512">
        <f>IF(D357="","-",+C374+1)</f>
        <v>2028</v>
      </c>
      <c r="D375" s="477">
        <f t="shared" si="38"/>
        <v>785413.54500000027</v>
      </c>
      <c r="E375" s="519">
        <f t="shared" si="39"/>
        <v>29270.069999999996</v>
      </c>
      <c r="F375" s="519">
        <f t="shared" si="32"/>
        <v>756143.47500000033</v>
      </c>
      <c r="G375" s="477">
        <f t="shared" si="33"/>
        <v>770778.51000000024</v>
      </c>
      <c r="H375" s="513">
        <f>+J358*G375+E375</f>
        <v>114894.86870611318</v>
      </c>
      <c r="I375" s="520">
        <f>+J359*G375+E375</f>
        <v>114894.86870611318</v>
      </c>
      <c r="J375" s="516">
        <f t="shared" si="34"/>
        <v>0</v>
      </c>
      <c r="K375" s="516"/>
      <c r="L375" s="521"/>
      <c r="M375" s="516">
        <f t="shared" si="35"/>
        <v>0</v>
      </c>
      <c r="N375" s="521"/>
      <c r="O375" s="516">
        <f t="shared" si="36"/>
        <v>0</v>
      </c>
      <c r="P375" s="516">
        <f t="shared" si="37"/>
        <v>0</v>
      </c>
      <c r="Q375" s="479"/>
    </row>
    <row r="376" spans="3:17">
      <c r="C376" s="512">
        <f>IF(D357="","-",+C375+1)</f>
        <v>2029</v>
      </c>
      <c r="D376" s="477">
        <f t="shared" si="38"/>
        <v>756143.47500000033</v>
      </c>
      <c r="E376" s="519">
        <f t="shared" si="39"/>
        <v>29270.069999999996</v>
      </c>
      <c r="F376" s="519">
        <f t="shared" si="32"/>
        <v>726873.40500000038</v>
      </c>
      <c r="G376" s="477">
        <f t="shared" si="33"/>
        <v>741508.44000000041</v>
      </c>
      <c r="H376" s="513">
        <f>+J358*G376+E376</f>
        <v>111643.29407170383</v>
      </c>
      <c r="I376" s="520">
        <f>+J359*G376+E376</f>
        <v>111643.29407170383</v>
      </c>
      <c r="J376" s="516">
        <f t="shared" si="34"/>
        <v>0</v>
      </c>
      <c r="K376" s="516"/>
      <c r="L376" s="521"/>
      <c r="M376" s="516">
        <f t="shared" si="35"/>
        <v>0</v>
      </c>
      <c r="N376" s="521"/>
      <c r="O376" s="516">
        <f t="shared" si="36"/>
        <v>0</v>
      </c>
      <c r="P376" s="516">
        <f t="shared" si="37"/>
        <v>0</v>
      </c>
      <c r="Q376" s="479"/>
    </row>
    <row r="377" spans="3:17">
      <c r="C377" s="512">
        <f>IF(D357="","-",+C376+1)</f>
        <v>2030</v>
      </c>
      <c r="D377" s="477">
        <f t="shared" si="38"/>
        <v>726873.40500000038</v>
      </c>
      <c r="E377" s="519">
        <f t="shared" si="39"/>
        <v>29270.069999999996</v>
      </c>
      <c r="F377" s="519">
        <f t="shared" si="32"/>
        <v>697603.33500000043</v>
      </c>
      <c r="G377" s="477">
        <f t="shared" si="33"/>
        <v>712238.37000000034</v>
      </c>
      <c r="H377" s="513">
        <f>+J358*G377+E377</f>
        <v>108391.71943729447</v>
      </c>
      <c r="I377" s="520">
        <f>+J359*G377+E377</f>
        <v>108391.71943729447</v>
      </c>
      <c r="J377" s="516">
        <f t="shared" si="34"/>
        <v>0</v>
      </c>
      <c r="K377" s="516"/>
      <c r="L377" s="521"/>
      <c r="M377" s="516">
        <f t="shared" si="35"/>
        <v>0</v>
      </c>
      <c r="N377" s="521"/>
      <c r="O377" s="516">
        <f t="shared" si="36"/>
        <v>0</v>
      </c>
      <c r="P377" s="516">
        <f t="shared" si="37"/>
        <v>0</v>
      </c>
      <c r="Q377" s="479"/>
    </row>
    <row r="378" spans="3:17">
      <c r="C378" s="512">
        <f>IF(D357="","-",+C377+1)</f>
        <v>2031</v>
      </c>
      <c r="D378" s="477">
        <f t="shared" si="38"/>
        <v>697603.33500000043</v>
      </c>
      <c r="E378" s="519">
        <f t="shared" si="39"/>
        <v>29270.069999999996</v>
      </c>
      <c r="F378" s="519">
        <f t="shared" si="32"/>
        <v>668333.26500000048</v>
      </c>
      <c r="G378" s="477">
        <f t="shared" si="33"/>
        <v>682968.30000000051</v>
      </c>
      <c r="H378" s="513">
        <f>+J358*G378+E378</f>
        <v>105140.14480288513</v>
      </c>
      <c r="I378" s="520">
        <f>+J359*G378+E378</f>
        <v>105140.14480288513</v>
      </c>
      <c r="J378" s="516">
        <f t="shared" si="34"/>
        <v>0</v>
      </c>
      <c r="K378" s="516"/>
      <c r="L378" s="521"/>
      <c r="M378" s="516">
        <f t="shared" si="35"/>
        <v>0</v>
      </c>
      <c r="N378" s="521"/>
      <c r="O378" s="516">
        <f t="shared" si="36"/>
        <v>0</v>
      </c>
      <c r="P378" s="516">
        <f t="shared" si="37"/>
        <v>0</v>
      </c>
      <c r="Q378" s="479"/>
    </row>
    <row r="379" spans="3:17">
      <c r="C379" s="512">
        <f>IF(D357="","-",+C378+1)</f>
        <v>2032</v>
      </c>
      <c r="D379" s="477">
        <f t="shared" si="38"/>
        <v>668333.26500000048</v>
      </c>
      <c r="E379" s="519">
        <f t="shared" si="39"/>
        <v>29270.069999999996</v>
      </c>
      <c r="F379" s="519">
        <f t="shared" si="32"/>
        <v>639063.19500000053</v>
      </c>
      <c r="G379" s="477">
        <f t="shared" si="33"/>
        <v>653698.23000000045</v>
      </c>
      <c r="H379" s="513">
        <f>+J358*G379+E379</f>
        <v>101888.57016847575</v>
      </c>
      <c r="I379" s="520">
        <f>+J359*G379+E379</f>
        <v>101888.57016847575</v>
      </c>
      <c r="J379" s="516">
        <f t="shared" si="34"/>
        <v>0</v>
      </c>
      <c r="K379" s="516"/>
      <c r="L379" s="521"/>
      <c r="M379" s="516">
        <f t="shared" si="35"/>
        <v>0</v>
      </c>
      <c r="N379" s="521"/>
      <c r="O379" s="516">
        <f t="shared" si="36"/>
        <v>0</v>
      </c>
      <c r="P379" s="516">
        <f t="shared" si="37"/>
        <v>0</v>
      </c>
      <c r="Q379" s="479"/>
    </row>
    <row r="380" spans="3:17">
      <c r="C380" s="512">
        <f>IF(D357="","-",+C379+1)</f>
        <v>2033</v>
      </c>
      <c r="D380" s="477">
        <f t="shared" si="38"/>
        <v>639063.19500000053</v>
      </c>
      <c r="E380" s="519">
        <f t="shared" si="39"/>
        <v>29270.069999999996</v>
      </c>
      <c r="F380" s="519">
        <f t="shared" si="32"/>
        <v>609793.12500000058</v>
      </c>
      <c r="G380" s="477">
        <f t="shared" si="33"/>
        <v>624428.16000000061</v>
      </c>
      <c r="H380" s="513">
        <f>+J358*G380+E380</f>
        <v>98636.995534066416</v>
      </c>
      <c r="I380" s="520">
        <f>+J359*G380+E380</f>
        <v>98636.995534066416</v>
      </c>
      <c r="J380" s="516">
        <f t="shared" si="34"/>
        <v>0</v>
      </c>
      <c r="K380" s="516"/>
      <c r="L380" s="521"/>
      <c r="M380" s="516">
        <f t="shared" si="35"/>
        <v>0</v>
      </c>
      <c r="N380" s="521"/>
      <c r="O380" s="516">
        <f t="shared" si="36"/>
        <v>0</v>
      </c>
      <c r="P380" s="516">
        <f t="shared" si="37"/>
        <v>0</v>
      </c>
      <c r="Q380" s="479"/>
    </row>
    <row r="381" spans="3:17">
      <c r="C381" s="512">
        <f>IF(D357="","-",+C380+1)</f>
        <v>2034</v>
      </c>
      <c r="D381" s="477">
        <f t="shared" si="38"/>
        <v>609793.12500000058</v>
      </c>
      <c r="E381" s="519">
        <f t="shared" si="39"/>
        <v>29270.069999999996</v>
      </c>
      <c r="F381" s="519">
        <f t="shared" si="32"/>
        <v>580523.05500000063</v>
      </c>
      <c r="G381" s="477">
        <f t="shared" si="33"/>
        <v>595158.09000000055</v>
      </c>
      <c r="H381" s="513">
        <f>+J358*G381+E381</f>
        <v>95385.420899657052</v>
      </c>
      <c r="I381" s="520">
        <f>+J359*G381+E381</f>
        <v>95385.420899657052</v>
      </c>
      <c r="J381" s="516">
        <f t="shared" si="34"/>
        <v>0</v>
      </c>
      <c r="K381" s="516"/>
      <c r="L381" s="521"/>
      <c r="M381" s="516">
        <f t="shared" si="35"/>
        <v>0</v>
      </c>
      <c r="N381" s="521"/>
      <c r="O381" s="516">
        <f t="shared" si="36"/>
        <v>0</v>
      </c>
      <c r="P381" s="516">
        <f t="shared" si="37"/>
        <v>0</v>
      </c>
      <c r="Q381" s="479"/>
    </row>
    <row r="382" spans="3:17">
      <c r="C382" s="512">
        <f>IF(D357="","-",+C381+1)</f>
        <v>2035</v>
      </c>
      <c r="D382" s="477">
        <f t="shared" si="38"/>
        <v>580523.05500000063</v>
      </c>
      <c r="E382" s="519">
        <f t="shared" si="39"/>
        <v>29270.069999999996</v>
      </c>
      <c r="F382" s="519">
        <f t="shared" si="32"/>
        <v>551252.98500000068</v>
      </c>
      <c r="G382" s="477">
        <f t="shared" si="33"/>
        <v>565888.02000000072</v>
      </c>
      <c r="H382" s="513">
        <f>+J358*G382+E382</f>
        <v>92133.846265247703</v>
      </c>
      <c r="I382" s="520">
        <f>+J359*G382+E382</f>
        <v>92133.846265247703</v>
      </c>
      <c r="J382" s="516">
        <f t="shared" si="34"/>
        <v>0</v>
      </c>
      <c r="K382" s="516"/>
      <c r="L382" s="521"/>
      <c r="M382" s="516">
        <f t="shared" si="35"/>
        <v>0</v>
      </c>
      <c r="N382" s="521"/>
      <c r="O382" s="516">
        <f t="shared" si="36"/>
        <v>0</v>
      </c>
      <c r="P382" s="516">
        <f t="shared" si="37"/>
        <v>0</v>
      </c>
      <c r="Q382" s="479"/>
    </row>
    <row r="383" spans="3:17">
      <c r="C383" s="512">
        <f>IF(D357="","-",+C382+1)</f>
        <v>2036</v>
      </c>
      <c r="D383" s="477">
        <f t="shared" si="38"/>
        <v>551252.98500000068</v>
      </c>
      <c r="E383" s="519">
        <f t="shared" si="39"/>
        <v>29270.069999999996</v>
      </c>
      <c r="F383" s="519">
        <f t="shared" si="32"/>
        <v>521982.91500000068</v>
      </c>
      <c r="G383" s="477">
        <f t="shared" si="33"/>
        <v>536617.95000000065</v>
      </c>
      <c r="H383" s="513">
        <f>+J358*G383+E383</f>
        <v>88882.271630838339</v>
      </c>
      <c r="I383" s="520">
        <f>+J359*G383+E383</f>
        <v>88882.271630838339</v>
      </c>
      <c r="J383" s="516">
        <f t="shared" si="34"/>
        <v>0</v>
      </c>
      <c r="K383" s="516"/>
      <c r="L383" s="521"/>
      <c r="M383" s="516">
        <f t="shared" si="35"/>
        <v>0</v>
      </c>
      <c r="N383" s="521"/>
      <c r="O383" s="516">
        <f t="shared" si="36"/>
        <v>0</v>
      </c>
      <c r="P383" s="516">
        <f t="shared" si="37"/>
        <v>0</v>
      </c>
      <c r="Q383" s="479"/>
    </row>
    <row r="384" spans="3:17">
      <c r="C384" s="512">
        <f>IF(D357="","-",+C383+1)</f>
        <v>2037</v>
      </c>
      <c r="D384" s="477">
        <f t="shared" si="38"/>
        <v>521982.91500000068</v>
      </c>
      <c r="E384" s="519">
        <f t="shared" si="39"/>
        <v>29270.069999999996</v>
      </c>
      <c r="F384" s="519">
        <f t="shared" si="32"/>
        <v>492712.84500000067</v>
      </c>
      <c r="G384" s="477">
        <f t="shared" si="33"/>
        <v>507347.8800000007</v>
      </c>
      <c r="H384" s="513">
        <f>+J358*G384+E384</f>
        <v>85630.696996428989</v>
      </c>
      <c r="I384" s="520">
        <f>+J359*G384+E384</f>
        <v>85630.696996428989</v>
      </c>
      <c r="J384" s="516">
        <f t="shared" si="34"/>
        <v>0</v>
      </c>
      <c r="K384" s="516"/>
      <c r="L384" s="521"/>
      <c r="M384" s="516">
        <f t="shared" si="35"/>
        <v>0</v>
      </c>
      <c r="N384" s="521"/>
      <c r="O384" s="516">
        <f t="shared" si="36"/>
        <v>0</v>
      </c>
      <c r="P384" s="516">
        <f t="shared" si="37"/>
        <v>0</v>
      </c>
      <c r="Q384" s="479"/>
    </row>
    <row r="385" spans="3:17">
      <c r="C385" s="512">
        <f>IF(D357="","-",+C384+1)</f>
        <v>2038</v>
      </c>
      <c r="D385" s="477">
        <f t="shared" si="38"/>
        <v>492712.84500000067</v>
      </c>
      <c r="E385" s="519">
        <f t="shared" si="39"/>
        <v>29270.069999999996</v>
      </c>
      <c r="F385" s="519">
        <f t="shared" si="32"/>
        <v>463442.77500000066</v>
      </c>
      <c r="G385" s="477">
        <f t="shared" si="33"/>
        <v>478077.81000000064</v>
      </c>
      <c r="H385" s="513">
        <f>+J358*G385+E385</f>
        <v>82379.122362019625</v>
      </c>
      <c r="I385" s="520">
        <f>+J359*G385+E385</f>
        <v>82379.122362019625</v>
      </c>
      <c r="J385" s="516">
        <f t="shared" si="34"/>
        <v>0</v>
      </c>
      <c r="K385" s="516"/>
      <c r="L385" s="521"/>
      <c r="M385" s="516">
        <f t="shared" si="35"/>
        <v>0</v>
      </c>
      <c r="N385" s="521"/>
      <c r="O385" s="516">
        <f t="shared" si="36"/>
        <v>0</v>
      </c>
      <c r="P385" s="516">
        <f t="shared" si="37"/>
        <v>0</v>
      </c>
      <c r="Q385" s="479"/>
    </row>
    <row r="386" spans="3:17">
      <c r="C386" s="512">
        <f>IF(D357="","-",+C385+1)</f>
        <v>2039</v>
      </c>
      <c r="D386" s="477">
        <f t="shared" si="38"/>
        <v>463442.77500000066</v>
      </c>
      <c r="E386" s="519">
        <f t="shared" si="39"/>
        <v>29270.069999999996</v>
      </c>
      <c r="F386" s="519">
        <f t="shared" si="32"/>
        <v>434172.70500000066</v>
      </c>
      <c r="G386" s="477">
        <f t="shared" si="33"/>
        <v>448807.74000000069</v>
      </c>
      <c r="H386" s="513">
        <f>+J358*G386+E386</f>
        <v>79127.547727610261</v>
      </c>
      <c r="I386" s="520">
        <f>+J359*G386+E386</f>
        <v>79127.547727610261</v>
      </c>
      <c r="J386" s="516">
        <f t="shared" si="34"/>
        <v>0</v>
      </c>
      <c r="K386" s="516"/>
      <c r="L386" s="521"/>
      <c r="M386" s="516">
        <f t="shared" si="35"/>
        <v>0</v>
      </c>
      <c r="N386" s="521"/>
      <c r="O386" s="516">
        <f t="shared" si="36"/>
        <v>0</v>
      </c>
      <c r="P386" s="516">
        <f t="shared" si="37"/>
        <v>0</v>
      </c>
      <c r="Q386" s="479"/>
    </row>
    <row r="387" spans="3:17">
      <c r="C387" s="512">
        <f>IF(D357="","-",+C386+1)</f>
        <v>2040</v>
      </c>
      <c r="D387" s="477">
        <f t="shared" si="38"/>
        <v>434172.70500000066</v>
      </c>
      <c r="E387" s="519">
        <f t="shared" si="39"/>
        <v>29270.069999999996</v>
      </c>
      <c r="F387" s="519">
        <f t="shared" si="32"/>
        <v>404902.63500000065</v>
      </c>
      <c r="G387" s="477">
        <f t="shared" si="33"/>
        <v>419537.67000000062</v>
      </c>
      <c r="H387" s="513">
        <f>+J358*G387+E387</f>
        <v>75875.973093200897</v>
      </c>
      <c r="I387" s="520">
        <f>+J359*G387+E387</f>
        <v>75875.973093200897</v>
      </c>
      <c r="J387" s="516">
        <f t="shared" si="34"/>
        <v>0</v>
      </c>
      <c r="K387" s="516"/>
      <c r="L387" s="521"/>
      <c r="M387" s="516">
        <f t="shared" si="35"/>
        <v>0</v>
      </c>
      <c r="N387" s="521"/>
      <c r="O387" s="516">
        <f t="shared" si="36"/>
        <v>0</v>
      </c>
      <c r="P387" s="516">
        <f t="shared" si="37"/>
        <v>0</v>
      </c>
      <c r="Q387" s="479"/>
    </row>
    <row r="388" spans="3:17">
      <c r="C388" s="512">
        <f>IF(D357="","-",+C387+1)</f>
        <v>2041</v>
      </c>
      <c r="D388" s="477">
        <f t="shared" si="38"/>
        <v>404902.63500000065</v>
      </c>
      <c r="E388" s="519">
        <f t="shared" si="39"/>
        <v>29270.069999999996</v>
      </c>
      <c r="F388" s="519">
        <f t="shared" si="32"/>
        <v>375632.56500000064</v>
      </c>
      <c r="G388" s="477">
        <f t="shared" si="33"/>
        <v>390267.60000000068</v>
      </c>
      <c r="H388" s="513">
        <f>+J358*G388+E388</f>
        <v>72624.398458791547</v>
      </c>
      <c r="I388" s="520">
        <f>+J359*G388+E388</f>
        <v>72624.398458791547</v>
      </c>
      <c r="J388" s="516">
        <f t="shared" si="34"/>
        <v>0</v>
      </c>
      <c r="K388" s="516"/>
      <c r="L388" s="521"/>
      <c r="M388" s="516">
        <f t="shared" si="35"/>
        <v>0</v>
      </c>
      <c r="N388" s="521"/>
      <c r="O388" s="516">
        <f t="shared" si="36"/>
        <v>0</v>
      </c>
      <c r="P388" s="516">
        <f t="shared" si="37"/>
        <v>0</v>
      </c>
      <c r="Q388" s="479"/>
    </row>
    <row r="389" spans="3:17">
      <c r="C389" s="512">
        <f>IF(D357="","-",+C388+1)</f>
        <v>2042</v>
      </c>
      <c r="D389" s="477">
        <f t="shared" si="38"/>
        <v>375632.56500000064</v>
      </c>
      <c r="E389" s="519">
        <f t="shared" si="39"/>
        <v>29270.069999999996</v>
      </c>
      <c r="F389" s="519">
        <f t="shared" si="32"/>
        <v>346362.49500000064</v>
      </c>
      <c r="G389" s="477">
        <f t="shared" si="33"/>
        <v>360997.53000000061</v>
      </c>
      <c r="H389" s="513">
        <f>+J358*G389+E389</f>
        <v>69372.823824382169</v>
      </c>
      <c r="I389" s="520">
        <f>+J359*G389+E389</f>
        <v>69372.823824382169</v>
      </c>
      <c r="J389" s="516">
        <f t="shared" si="34"/>
        <v>0</v>
      </c>
      <c r="K389" s="516"/>
      <c r="L389" s="521"/>
      <c r="M389" s="516">
        <f t="shared" si="35"/>
        <v>0</v>
      </c>
      <c r="N389" s="521"/>
      <c r="O389" s="516">
        <f t="shared" si="36"/>
        <v>0</v>
      </c>
      <c r="P389" s="516">
        <f t="shared" si="37"/>
        <v>0</v>
      </c>
      <c r="Q389" s="479"/>
    </row>
    <row r="390" spans="3:17">
      <c r="C390" s="512">
        <f>IF(D357="","-",+C389+1)</f>
        <v>2043</v>
      </c>
      <c r="D390" s="477">
        <f t="shared" si="38"/>
        <v>346362.49500000064</v>
      </c>
      <c r="E390" s="519">
        <f t="shared" si="39"/>
        <v>29270.069999999996</v>
      </c>
      <c r="F390" s="519">
        <f t="shared" si="32"/>
        <v>317092.42500000063</v>
      </c>
      <c r="G390" s="477">
        <f t="shared" si="33"/>
        <v>331727.46000000066</v>
      </c>
      <c r="H390" s="513">
        <f>+J358*G390+E390</f>
        <v>66121.249189972819</v>
      </c>
      <c r="I390" s="520">
        <f>+J359*G390+E390</f>
        <v>66121.249189972819</v>
      </c>
      <c r="J390" s="516">
        <f t="shared" si="34"/>
        <v>0</v>
      </c>
      <c r="K390" s="516"/>
      <c r="L390" s="521"/>
      <c r="M390" s="516">
        <f t="shared" si="35"/>
        <v>0</v>
      </c>
      <c r="N390" s="521"/>
      <c r="O390" s="516">
        <f t="shared" si="36"/>
        <v>0</v>
      </c>
      <c r="P390" s="516">
        <f t="shared" si="37"/>
        <v>0</v>
      </c>
      <c r="Q390" s="479"/>
    </row>
    <row r="391" spans="3:17">
      <c r="C391" s="512">
        <f>IF(D357="","-",+C390+1)</f>
        <v>2044</v>
      </c>
      <c r="D391" s="477">
        <f t="shared" si="38"/>
        <v>317092.42500000063</v>
      </c>
      <c r="E391" s="519">
        <f t="shared" si="39"/>
        <v>29270.069999999996</v>
      </c>
      <c r="F391" s="519">
        <f t="shared" si="32"/>
        <v>287822.35500000062</v>
      </c>
      <c r="G391" s="477">
        <f t="shared" si="33"/>
        <v>302457.3900000006</v>
      </c>
      <c r="H391" s="513">
        <f>+J358*G391+E391</f>
        <v>62869.674555563455</v>
      </c>
      <c r="I391" s="520">
        <f>+J359*G391+E391</f>
        <v>62869.674555563455</v>
      </c>
      <c r="J391" s="516">
        <f t="shared" si="34"/>
        <v>0</v>
      </c>
      <c r="K391" s="516"/>
      <c r="L391" s="521"/>
      <c r="M391" s="516">
        <f t="shared" si="35"/>
        <v>0</v>
      </c>
      <c r="N391" s="521"/>
      <c r="O391" s="516">
        <f t="shared" si="36"/>
        <v>0</v>
      </c>
      <c r="P391" s="516">
        <f t="shared" si="37"/>
        <v>0</v>
      </c>
      <c r="Q391" s="479"/>
    </row>
    <row r="392" spans="3:17">
      <c r="C392" s="512">
        <f>IF(D357="","-",+C391+1)</f>
        <v>2045</v>
      </c>
      <c r="D392" s="477">
        <f t="shared" si="38"/>
        <v>287822.35500000062</v>
      </c>
      <c r="E392" s="519">
        <f t="shared" si="39"/>
        <v>29270.069999999996</v>
      </c>
      <c r="F392" s="519">
        <f t="shared" si="32"/>
        <v>258552.28500000061</v>
      </c>
      <c r="G392" s="477">
        <f t="shared" si="33"/>
        <v>273187.32000000065</v>
      </c>
      <c r="H392" s="513">
        <f>+J358*G392+E392</f>
        <v>59618.099921154098</v>
      </c>
      <c r="I392" s="520">
        <f>+J359*G392+E392</f>
        <v>59618.099921154098</v>
      </c>
      <c r="J392" s="516">
        <f t="shared" si="34"/>
        <v>0</v>
      </c>
      <c r="K392" s="516"/>
      <c r="L392" s="521"/>
      <c r="M392" s="516">
        <f t="shared" si="35"/>
        <v>0</v>
      </c>
      <c r="N392" s="521"/>
      <c r="O392" s="516">
        <f t="shared" si="36"/>
        <v>0</v>
      </c>
      <c r="P392" s="516">
        <f t="shared" si="37"/>
        <v>0</v>
      </c>
      <c r="Q392" s="479"/>
    </row>
    <row r="393" spans="3:17">
      <c r="C393" s="512">
        <f>IF(D357="","-",+C392+1)</f>
        <v>2046</v>
      </c>
      <c r="D393" s="477">
        <f t="shared" si="38"/>
        <v>258552.28500000061</v>
      </c>
      <c r="E393" s="519">
        <f t="shared" si="39"/>
        <v>29270.069999999996</v>
      </c>
      <c r="F393" s="519">
        <f t="shared" si="32"/>
        <v>229282.21500000061</v>
      </c>
      <c r="G393" s="477">
        <f t="shared" si="33"/>
        <v>243917.25000000061</v>
      </c>
      <c r="H393" s="513">
        <f>+J358*G393+E393</f>
        <v>56366.525286744734</v>
      </c>
      <c r="I393" s="520">
        <f>+J359*G393+E393</f>
        <v>56366.525286744734</v>
      </c>
      <c r="J393" s="516">
        <f t="shared" si="34"/>
        <v>0</v>
      </c>
      <c r="K393" s="516"/>
      <c r="L393" s="521"/>
      <c r="M393" s="516">
        <f t="shared" si="35"/>
        <v>0</v>
      </c>
      <c r="N393" s="521"/>
      <c r="O393" s="516">
        <f t="shared" si="36"/>
        <v>0</v>
      </c>
      <c r="P393" s="516">
        <f t="shared" si="37"/>
        <v>0</v>
      </c>
      <c r="Q393" s="479"/>
    </row>
    <row r="394" spans="3:17">
      <c r="C394" s="512">
        <f>IF(D357="","-",+C393+1)</f>
        <v>2047</v>
      </c>
      <c r="D394" s="477">
        <f t="shared" si="38"/>
        <v>229282.21500000061</v>
      </c>
      <c r="E394" s="519">
        <f t="shared" si="39"/>
        <v>29270.069999999996</v>
      </c>
      <c r="F394" s="519">
        <f t="shared" si="32"/>
        <v>200012.1450000006</v>
      </c>
      <c r="G394" s="477">
        <f t="shared" si="33"/>
        <v>214647.1800000006</v>
      </c>
      <c r="H394" s="513">
        <f>+J358*G394+E394</f>
        <v>53114.950652335378</v>
      </c>
      <c r="I394" s="520">
        <f>+J359*G394+E394</f>
        <v>53114.950652335378</v>
      </c>
      <c r="J394" s="516">
        <f t="shared" si="34"/>
        <v>0</v>
      </c>
      <c r="K394" s="516"/>
      <c r="L394" s="521"/>
      <c r="M394" s="516">
        <f t="shared" si="35"/>
        <v>0</v>
      </c>
      <c r="N394" s="521"/>
      <c r="O394" s="516">
        <f t="shared" si="36"/>
        <v>0</v>
      </c>
      <c r="P394" s="516">
        <f t="shared" si="37"/>
        <v>0</v>
      </c>
      <c r="Q394" s="479"/>
    </row>
    <row r="395" spans="3:17">
      <c r="C395" s="512">
        <f>IF(D357="","-",+C394+1)</f>
        <v>2048</v>
      </c>
      <c r="D395" s="477">
        <f t="shared" si="38"/>
        <v>200012.1450000006</v>
      </c>
      <c r="E395" s="519">
        <f t="shared" si="39"/>
        <v>29270.069999999996</v>
      </c>
      <c r="F395" s="519">
        <f t="shared" si="32"/>
        <v>170742.07500000059</v>
      </c>
      <c r="G395" s="477">
        <f t="shared" si="33"/>
        <v>185377.1100000006</v>
      </c>
      <c r="H395" s="513">
        <f>+J358*G395+E395</f>
        <v>49863.376017926013</v>
      </c>
      <c r="I395" s="520">
        <f>+J359*G395+E395</f>
        <v>49863.376017926013</v>
      </c>
      <c r="J395" s="516">
        <f t="shared" si="34"/>
        <v>0</v>
      </c>
      <c r="K395" s="516"/>
      <c r="L395" s="521"/>
      <c r="M395" s="516">
        <f t="shared" si="35"/>
        <v>0</v>
      </c>
      <c r="N395" s="521"/>
      <c r="O395" s="516">
        <f t="shared" si="36"/>
        <v>0</v>
      </c>
      <c r="P395" s="516">
        <f t="shared" si="37"/>
        <v>0</v>
      </c>
      <c r="Q395" s="479"/>
    </row>
    <row r="396" spans="3:17">
      <c r="C396" s="512">
        <f>IF(D357="","-",+C395+1)</f>
        <v>2049</v>
      </c>
      <c r="D396" s="477">
        <f t="shared" si="38"/>
        <v>170742.07500000059</v>
      </c>
      <c r="E396" s="519">
        <f t="shared" si="39"/>
        <v>29270.069999999996</v>
      </c>
      <c r="F396" s="519">
        <f t="shared" si="32"/>
        <v>141472.00500000059</v>
      </c>
      <c r="G396" s="477">
        <f t="shared" si="33"/>
        <v>156107.04000000059</v>
      </c>
      <c r="H396" s="513">
        <f>+J358*G396+E396</f>
        <v>46611.801383516649</v>
      </c>
      <c r="I396" s="520">
        <f>+J359*G396+E396</f>
        <v>46611.801383516649</v>
      </c>
      <c r="J396" s="516">
        <f t="shared" si="34"/>
        <v>0</v>
      </c>
      <c r="K396" s="516"/>
      <c r="L396" s="521"/>
      <c r="M396" s="516">
        <f t="shared" si="35"/>
        <v>0</v>
      </c>
      <c r="N396" s="521"/>
      <c r="O396" s="516">
        <f t="shared" si="36"/>
        <v>0</v>
      </c>
      <c r="P396" s="516">
        <f t="shared" si="37"/>
        <v>0</v>
      </c>
      <c r="Q396" s="479"/>
    </row>
    <row r="397" spans="3:17">
      <c r="C397" s="512">
        <f>IF(D357="","-",+C396+1)</f>
        <v>2050</v>
      </c>
      <c r="D397" s="477">
        <f t="shared" si="38"/>
        <v>141472.00500000059</v>
      </c>
      <c r="E397" s="519">
        <f t="shared" si="39"/>
        <v>29270.069999999996</v>
      </c>
      <c r="F397" s="519">
        <f t="shared" si="32"/>
        <v>112201.93500000059</v>
      </c>
      <c r="G397" s="477">
        <f t="shared" si="33"/>
        <v>126836.97000000058</v>
      </c>
      <c r="H397" s="513">
        <f>+J358*G397+E397</f>
        <v>43360.226749107285</v>
      </c>
      <c r="I397" s="520">
        <f>+J359*G397+E397</f>
        <v>43360.226749107285</v>
      </c>
      <c r="J397" s="516">
        <f t="shared" si="34"/>
        <v>0</v>
      </c>
      <c r="K397" s="516"/>
      <c r="L397" s="521"/>
      <c r="M397" s="516">
        <f t="shared" si="35"/>
        <v>0</v>
      </c>
      <c r="N397" s="521"/>
      <c r="O397" s="516">
        <f t="shared" si="36"/>
        <v>0</v>
      </c>
      <c r="P397" s="516">
        <f t="shared" si="37"/>
        <v>0</v>
      </c>
      <c r="Q397" s="479"/>
    </row>
    <row r="398" spans="3:17">
      <c r="C398" s="512">
        <f>IF(D357="","-",+C397+1)</f>
        <v>2051</v>
      </c>
      <c r="D398" s="477">
        <f t="shared" si="38"/>
        <v>112201.93500000059</v>
      </c>
      <c r="E398" s="519">
        <f t="shared" si="39"/>
        <v>29270.069999999996</v>
      </c>
      <c r="F398" s="519">
        <f t="shared" si="32"/>
        <v>82931.865000000602</v>
      </c>
      <c r="G398" s="477">
        <f t="shared" si="33"/>
        <v>97566.900000000605</v>
      </c>
      <c r="H398" s="513">
        <f>+J358*G398+E398</f>
        <v>40108.652114697928</v>
      </c>
      <c r="I398" s="520">
        <f>+J359*G398+E398</f>
        <v>40108.652114697928</v>
      </c>
      <c r="J398" s="516">
        <f t="shared" si="34"/>
        <v>0</v>
      </c>
      <c r="K398" s="516"/>
      <c r="L398" s="521"/>
      <c r="M398" s="516">
        <f t="shared" si="35"/>
        <v>0</v>
      </c>
      <c r="N398" s="521"/>
      <c r="O398" s="516">
        <f t="shared" si="36"/>
        <v>0</v>
      </c>
      <c r="P398" s="516">
        <f t="shared" si="37"/>
        <v>0</v>
      </c>
      <c r="Q398" s="479"/>
    </row>
    <row r="399" spans="3:17">
      <c r="C399" s="512">
        <f>IF(D357="","-",+C398+1)</f>
        <v>2052</v>
      </c>
      <c r="D399" s="477">
        <f t="shared" si="38"/>
        <v>82931.865000000602</v>
      </c>
      <c r="E399" s="519">
        <f t="shared" si="39"/>
        <v>29270.069999999996</v>
      </c>
      <c r="F399" s="519">
        <f t="shared" si="32"/>
        <v>53661.795000000609</v>
      </c>
      <c r="G399" s="477">
        <f t="shared" si="33"/>
        <v>68296.830000000598</v>
      </c>
      <c r="H399" s="513">
        <f>+J358*G399+E399</f>
        <v>36857.077480288572</v>
      </c>
      <c r="I399" s="520">
        <f>+J359*G399+E399</f>
        <v>36857.077480288572</v>
      </c>
      <c r="J399" s="516">
        <f t="shared" si="34"/>
        <v>0</v>
      </c>
      <c r="K399" s="516"/>
      <c r="L399" s="521"/>
      <c r="M399" s="516">
        <f t="shared" si="35"/>
        <v>0</v>
      </c>
      <c r="N399" s="521"/>
      <c r="O399" s="516">
        <f t="shared" si="36"/>
        <v>0</v>
      </c>
      <c r="P399" s="516">
        <f t="shared" si="37"/>
        <v>0</v>
      </c>
      <c r="Q399" s="479"/>
    </row>
    <row r="400" spans="3:17">
      <c r="C400" s="512">
        <f>IF(D357="","-",+C399+1)</f>
        <v>2053</v>
      </c>
      <c r="D400" s="477">
        <f t="shared" si="38"/>
        <v>53661.795000000609</v>
      </c>
      <c r="E400" s="519">
        <f t="shared" si="39"/>
        <v>29270.069999999996</v>
      </c>
      <c r="F400" s="519">
        <f t="shared" si="32"/>
        <v>24391.725000000613</v>
      </c>
      <c r="G400" s="477">
        <f t="shared" si="33"/>
        <v>39026.760000000613</v>
      </c>
      <c r="H400" s="513">
        <f>+J358*G400+E400</f>
        <v>33605.502845879208</v>
      </c>
      <c r="I400" s="520">
        <f>+J359*G400+E400</f>
        <v>33605.502845879208</v>
      </c>
      <c r="J400" s="516">
        <f t="shared" si="34"/>
        <v>0</v>
      </c>
      <c r="K400" s="516"/>
      <c r="L400" s="521"/>
      <c r="M400" s="516">
        <f t="shared" si="35"/>
        <v>0</v>
      </c>
      <c r="N400" s="521"/>
      <c r="O400" s="516">
        <f t="shared" si="36"/>
        <v>0</v>
      </c>
      <c r="P400" s="516">
        <f t="shared" si="37"/>
        <v>0</v>
      </c>
      <c r="Q400" s="479"/>
    </row>
    <row r="401" spans="3:17">
      <c r="C401" s="512">
        <f>IF(D357="","-",+C400+1)</f>
        <v>2054</v>
      </c>
      <c r="D401" s="477">
        <f t="shared" si="38"/>
        <v>24391.725000000613</v>
      </c>
      <c r="E401" s="519">
        <f t="shared" si="39"/>
        <v>24391.725000000613</v>
      </c>
      <c r="F401" s="519">
        <f t="shared" si="32"/>
        <v>0</v>
      </c>
      <c r="G401" s="477">
        <f t="shared" si="33"/>
        <v>12195.862500000307</v>
      </c>
      <c r="H401" s="513">
        <f>+J358*G401+E401</f>
        <v>25746.54776433788</v>
      </c>
      <c r="I401" s="520">
        <f>+J359*G401+E401</f>
        <v>25746.54776433788</v>
      </c>
      <c r="J401" s="516">
        <f t="shared" si="34"/>
        <v>0</v>
      </c>
      <c r="K401" s="516"/>
      <c r="L401" s="521"/>
      <c r="M401" s="516">
        <f t="shared" si="35"/>
        <v>0</v>
      </c>
      <c r="N401" s="521"/>
      <c r="O401" s="516">
        <f t="shared" si="36"/>
        <v>0</v>
      </c>
      <c r="P401" s="516">
        <f t="shared" si="37"/>
        <v>0</v>
      </c>
      <c r="Q401" s="479"/>
    </row>
    <row r="402" spans="3:17">
      <c r="C402" s="512">
        <f>IF(D357="","-",+C401+1)</f>
        <v>2055</v>
      </c>
      <c r="D402" s="477">
        <f t="shared" si="38"/>
        <v>0</v>
      </c>
      <c r="E402" s="519">
        <f t="shared" si="39"/>
        <v>0</v>
      </c>
      <c r="F402" s="519">
        <f t="shared" si="32"/>
        <v>0</v>
      </c>
      <c r="G402" s="477">
        <f t="shared" si="33"/>
        <v>0</v>
      </c>
      <c r="H402" s="513">
        <f>+J358*G402+E402</f>
        <v>0</v>
      </c>
      <c r="I402" s="520">
        <f>+J359*G402+E402</f>
        <v>0</v>
      </c>
      <c r="J402" s="516">
        <f t="shared" si="34"/>
        <v>0</v>
      </c>
      <c r="K402" s="516"/>
      <c r="L402" s="521"/>
      <c r="M402" s="516">
        <f t="shared" si="35"/>
        <v>0</v>
      </c>
      <c r="N402" s="521"/>
      <c r="O402" s="516">
        <f t="shared" si="36"/>
        <v>0</v>
      </c>
      <c r="P402" s="516">
        <f t="shared" si="37"/>
        <v>0</v>
      </c>
      <c r="Q402" s="479"/>
    </row>
    <row r="403" spans="3:17">
      <c r="C403" s="512">
        <f>IF(D357="","-",+C402+1)</f>
        <v>2056</v>
      </c>
      <c r="D403" s="477">
        <f t="shared" si="38"/>
        <v>0</v>
      </c>
      <c r="E403" s="519">
        <f t="shared" si="39"/>
        <v>0</v>
      </c>
      <c r="F403" s="519">
        <f t="shared" si="32"/>
        <v>0</v>
      </c>
      <c r="G403" s="477">
        <f t="shared" si="33"/>
        <v>0</v>
      </c>
      <c r="H403" s="513">
        <f>+J358*G403+E403</f>
        <v>0</v>
      </c>
      <c r="I403" s="520">
        <f>+J359*G403+E403</f>
        <v>0</v>
      </c>
      <c r="J403" s="516">
        <f t="shared" si="34"/>
        <v>0</v>
      </c>
      <c r="K403" s="516"/>
      <c r="L403" s="521"/>
      <c r="M403" s="516">
        <f t="shared" si="35"/>
        <v>0</v>
      </c>
      <c r="N403" s="521"/>
      <c r="O403" s="516">
        <f t="shared" si="36"/>
        <v>0</v>
      </c>
      <c r="P403" s="516">
        <f t="shared" si="37"/>
        <v>0</v>
      </c>
      <c r="Q403" s="479"/>
    </row>
    <row r="404" spans="3:17">
      <c r="C404" s="512">
        <f>IF(D357="","-",+C403+1)</f>
        <v>2057</v>
      </c>
      <c r="D404" s="477">
        <f t="shared" si="38"/>
        <v>0</v>
      </c>
      <c r="E404" s="519">
        <f t="shared" si="39"/>
        <v>0</v>
      </c>
      <c r="F404" s="519">
        <f t="shared" si="32"/>
        <v>0</v>
      </c>
      <c r="G404" s="477">
        <f t="shared" si="33"/>
        <v>0</v>
      </c>
      <c r="H404" s="513">
        <f>+J358*G404+E404</f>
        <v>0</v>
      </c>
      <c r="I404" s="520">
        <f>+J359*G404+E404</f>
        <v>0</v>
      </c>
      <c r="J404" s="516">
        <f t="shared" si="34"/>
        <v>0</v>
      </c>
      <c r="K404" s="516"/>
      <c r="L404" s="521"/>
      <c r="M404" s="516">
        <f t="shared" si="35"/>
        <v>0</v>
      </c>
      <c r="N404" s="521"/>
      <c r="O404" s="516">
        <f t="shared" si="36"/>
        <v>0</v>
      </c>
      <c r="P404" s="516">
        <f t="shared" si="37"/>
        <v>0</v>
      </c>
      <c r="Q404" s="479"/>
    </row>
    <row r="405" spans="3:17">
      <c r="C405" s="512">
        <f>IF(D357="","-",+C404+1)</f>
        <v>2058</v>
      </c>
      <c r="D405" s="477">
        <f t="shared" si="38"/>
        <v>0</v>
      </c>
      <c r="E405" s="519">
        <f t="shared" si="39"/>
        <v>0</v>
      </c>
      <c r="F405" s="519">
        <f t="shared" si="32"/>
        <v>0</v>
      </c>
      <c r="G405" s="477">
        <f t="shared" si="33"/>
        <v>0</v>
      </c>
      <c r="H405" s="513">
        <f>+J358*G405+E405</f>
        <v>0</v>
      </c>
      <c r="I405" s="520">
        <f>+J359*G405+E405</f>
        <v>0</v>
      </c>
      <c r="J405" s="516">
        <f t="shared" si="34"/>
        <v>0</v>
      </c>
      <c r="K405" s="516"/>
      <c r="L405" s="521"/>
      <c r="M405" s="516">
        <f t="shared" si="35"/>
        <v>0</v>
      </c>
      <c r="N405" s="521"/>
      <c r="O405" s="516">
        <f t="shared" si="36"/>
        <v>0</v>
      </c>
      <c r="P405" s="516">
        <f t="shared" si="37"/>
        <v>0</v>
      </c>
      <c r="Q405" s="479"/>
    </row>
    <row r="406" spans="3:17">
      <c r="C406" s="512">
        <f>IF(D357="","-",+C405+1)</f>
        <v>2059</v>
      </c>
      <c r="D406" s="477">
        <f t="shared" si="38"/>
        <v>0</v>
      </c>
      <c r="E406" s="519">
        <f t="shared" si="39"/>
        <v>0</v>
      </c>
      <c r="F406" s="519">
        <f t="shared" si="32"/>
        <v>0</v>
      </c>
      <c r="G406" s="477">
        <f t="shared" si="33"/>
        <v>0</v>
      </c>
      <c r="H406" s="513">
        <f>+J358*G406+E406</f>
        <v>0</v>
      </c>
      <c r="I406" s="520">
        <f>+J359*G406+E406</f>
        <v>0</v>
      </c>
      <c r="J406" s="516">
        <f t="shared" si="34"/>
        <v>0</v>
      </c>
      <c r="K406" s="516"/>
      <c r="L406" s="521"/>
      <c r="M406" s="516">
        <f t="shared" si="35"/>
        <v>0</v>
      </c>
      <c r="N406" s="521"/>
      <c r="O406" s="516">
        <f t="shared" si="36"/>
        <v>0</v>
      </c>
      <c r="P406" s="516">
        <f t="shared" si="37"/>
        <v>0</v>
      </c>
      <c r="Q406" s="479"/>
    </row>
    <row r="407" spans="3:17">
      <c r="C407" s="512">
        <f>IF(D357="","-",+C406+1)</f>
        <v>2060</v>
      </c>
      <c r="D407" s="477">
        <f t="shared" si="38"/>
        <v>0</v>
      </c>
      <c r="E407" s="519">
        <f t="shared" si="39"/>
        <v>0</v>
      </c>
      <c r="F407" s="519">
        <f t="shared" si="32"/>
        <v>0</v>
      </c>
      <c r="G407" s="477">
        <f t="shared" si="33"/>
        <v>0</v>
      </c>
      <c r="H407" s="513">
        <f>+J358*G407+E407</f>
        <v>0</v>
      </c>
      <c r="I407" s="520">
        <f>+J359*G407+E407</f>
        <v>0</v>
      </c>
      <c r="J407" s="516">
        <f t="shared" si="34"/>
        <v>0</v>
      </c>
      <c r="K407" s="516"/>
      <c r="L407" s="521"/>
      <c r="M407" s="516">
        <f t="shared" si="35"/>
        <v>0</v>
      </c>
      <c r="N407" s="521"/>
      <c r="O407" s="516">
        <f t="shared" si="36"/>
        <v>0</v>
      </c>
      <c r="P407" s="516">
        <f t="shared" si="37"/>
        <v>0</v>
      </c>
      <c r="Q407" s="479"/>
    </row>
    <row r="408" spans="3:17">
      <c r="C408" s="512">
        <f>IF(D357="","-",+C407+1)</f>
        <v>2061</v>
      </c>
      <c r="D408" s="477">
        <f t="shared" si="38"/>
        <v>0</v>
      </c>
      <c r="E408" s="519">
        <f t="shared" si="39"/>
        <v>0</v>
      </c>
      <c r="F408" s="519">
        <f t="shared" si="32"/>
        <v>0</v>
      </c>
      <c r="G408" s="477">
        <f t="shared" si="33"/>
        <v>0</v>
      </c>
      <c r="H408" s="513">
        <f>+J358*G408+E408</f>
        <v>0</v>
      </c>
      <c r="I408" s="520">
        <f>+J359*G408+E408</f>
        <v>0</v>
      </c>
      <c r="J408" s="516">
        <f t="shared" si="34"/>
        <v>0</v>
      </c>
      <c r="K408" s="516"/>
      <c r="L408" s="521"/>
      <c r="M408" s="516">
        <f t="shared" si="35"/>
        <v>0</v>
      </c>
      <c r="N408" s="521"/>
      <c r="O408" s="516">
        <f t="shared" si="36"/>
        <v>0</v>
      </c>
      <c r="P408" s="516">
        <f t="shared" si="37"/>
        <v>0</v>
      </c>
      <c r="Q408" s="479"/>
    </row>
    <row r="409" spans="3:17">
      <c r="C409" s="512">
        <f>IF(D357="","-",+C408+1)</f>
        <v>2062</v>
      </c>
      <c r="D409" s="477">
        <f t="shared" si="38"/>
        <v>0</v>
      </c>
      <c r="E409" s="519">
        <f t="shared" si="39"/>
        <v>0</v>
      </c>
      <c r="F409" s="519">
        <f t="shared" si="32"/>
        <v>0</v>
      </c>
      <c r="G409" s="477">
        <f t="shared" si="33"/>
        <v>0</v>
      </c>
      <c r="H409" s="513">
        <f>+J358*G409+E409</f>
        <v>0</v>
      </c>
      <c r="I409" s="520">
        <f>+J359*G409+E409</f>
        <v>0</v>
      </c>
      <c r="J409" s="516">
        <f t="shared" si="34"/>
        <v>0</v>
      </c>
      <c r="K409" s="516"/>
      <c r="L409" s="521"/>
      <c r="M409" s="516">
        <f t="shared" si="35"/>
        <v>0</v>
      </c>
      <c r="N409" s="521"/>
      <c r="O409" s="516">
        <f t="shared" si="36"/>
        <v>0</v>
      </c>
      <c r="P409" s="516">
        <f t="shared" si="37"/>
        <v>0</v>
      </c>
      <c r="Q409" s="479"/>
    </row>
    <row r="410" spans="3:17">
      <c r="C410" s="512">
        <f>IF(D357="","-",+C409+1)</f>
        <v>2063</v>
      </c>
      <c r="D410" s="477">
        <f t="shared" si="38"/>
        <v>0</v>
      </c>
      <c r="E410" s="519">
        <f t="shared" si="39"/>
        <v>0</v>
      </c>
      <c r="F410" s="519">
        <f t="shared" si="32"/>
        <v>0</v>
      </c>
      <c r="G410" s="477">
        <f t="shared" si="33"/>
        <v>0</v>
      </c>
      <c r="H410" s="513">
        <f>+J358*G410+E410</f>
        <v>0</v>
      </c>
      <c r="I410" s="520">
        <f>+J359*G410+E410</f>
        <v>0</v>
      </c>
      <c r="J410" s="516">
        <f t="shared" si="34"/>
        <v>0</v>
      </c>
      <c r="K410" s="516"/>
      <c r="L410" s="521"/>
      <c r="M410" s="516">
        <f t="shared" si="35"/>
        <v>0</v>
      </c>
      <c r="N410" s="521"/>
      <c r="O410" s="516">
        <f t="shared" si="36"/>
        <v>0</v>
      </c>
      <c r="P410" s="516">
        <f t="shared" si="37"/>
        <v>0</v>
      </c>
      <c r="Q410" s="479"/>
    </row>
    <row r="411" spans="3:17">
      <c r="C411" s="512">
        <f>IF(D357="","-",+C410+1)</f>
        <v>2064</v>
      </c>
      <c r="D411" s="477">
        <f t="shared" si="38"/>
        <v>0</v>
      </c>
      <c r="E411" s="519">
        <f t="shared" si="39"/>
        <v>0</v>
      </c>
      <c r="F411" s="519">
        <f t="shared" si="32"/>
        <v>0</v>
      </c>
      <c r="G411" s="477">
        <f t="shared" si="33"/>
        <v>0</v>
      </c>
      <c r="H411" s="513">
        <f>+J358*G411+E411</f>
        <v>0</v>
      </c>
      <c r="I411" s="520">
        <f>+J359*G411+E411</f>
        <v>0</v>
      </c>
      <c r="J411" s="516">
        <f t="shared" si="34"/>
        <v>0</v>
      </c>
      <c r="K411" s="516"/>
      <c r="L411" s="521"/>
      <c r="M411" s="516">
        <f t="shared" si="35"/>
        <v>0</v>
      </c>
      <c r="N411" s="521"/>
      <c r="O411" s="516">
        <f t="shared" si="36"/>
        <v>0</v>
      </c>
      <c r="P411" s="516">
        <f t="shared" si="37"/>
        <v>0</v>
      </c>
      <c r="Q411" s="479"/>
    </row>
    <row r="412" spans="3:17">
      <c r="C412" s="512">
        <f>IF(D357="","-",+C411+1)</f>
        <v>2065</v>
      </c>
      <c r="D412" s="477">
        <f t="shared" si="38"/>
        <v>0</v>
      </c>
      <c r="E412" s="519">
        <f t="shared" si="39"/>
        <v>0</v>
      </c>
      <c r="F412" s="519">
        <f t="shared" si="32"/>
        <v>0</v>
      </c>
      <c r="G412" s="477">
        <f t="shared" si="33"/>
        <v>0</v>
      </c>
      <c r="H412" s="513">
        <f>+J358*G412+E412</f>
        <v>0</v>
      </c>
      <c r="I412" s="520">
        <f>+J359*G412+E412</f>
        <v>0</v>
      </c>
      <c r="J412" s="516">
        <f t="shared" si="34"/>
        <v>0</v>
      </c>
      <c r="K412" s="516"/>
      <c r="L412" s="521"/>
      <c r="M412" s="516">
        <f t="shared" si="35"/>
        <v>0</v>
      </c>
      <c r="N412" s="521"/>
      <c r="O412" s="516">
        <f t="shared" si="36"/>
        <v>0</v>
      </c>
      <c r="P412" s="516">
        <f t="shared" si="37"/>
        <v>0</v>
      </c>
      <c r="Q412" s="479"/>
    </row>
    <row r="413" spans="3:17">
      <c r="C413" s="512">
        <f>IF(D357="","-",+C412+1)</f>
        <v>2066</v>
      </c>
      <c r="D413" s="477">
        <f t="shared" si="38"/>
        <v>0</v>
      </c>
      <c r="E413" s="519">
        <f t="shared" si="39"/>
        <v>0</v>
      </c>
      <c r="F413" s="519">
        <f t="shared" si="32"/>
        <v>0</v>
      </c>
      <c r="G413" s="477">
        <f t="shared" si="33"/>
        <v>0</v>
      </c>
      <c r="H413" s="513">
        <f>+J358*G413+E413</f>
        <v>0</v>
      </c>
      <c r="I413" s="520">
        <f>+J359*G413+E413</f>
        <v>0</v>
      </c>
      <c r="J413" s="516">
        <f t="shared" si="34"/>
        <v>0</v>
      </c>
      <c r="K413" s="516"/>
      <c r="L413" s="521"/>
      <c r="M413" s="516">
        <f t="shared" si="35"/>
        <v>0</v>
      </c>
      <c r="N413" s="521"/>
      <c r="O413" s="516">
        <f t="shared" si="36"/>
        <v>0</v>
      </c>
      <c r="P413" s="516">
        <f t="shared" si="37"/>
        <v>0</v>
      </c>
      <c r="Q413" s="479"/>
    </row>
    <row r="414" spans="3:17">
      <c r="C414" s="512">
        <f>IF(D357="","-",+C413+1)</f>
        <v>2067</v>
      </c>
      <c r="D414" s="477">
        <f t="shared" si="38"/>
        <v>0</v>
      </c>
      <c r="E414" s="519">
        <f t="shared" si="39"/>
        <v>0</v>
      </c>
      <c r="F414" s="519">
        <f t="shared" si="32"/>
        <v>0</v>
      </c>
      <c r="G414" s="477">
        <f t="shared" si="33"/>
        <v>0</v>
      </c>
      <c r="H414" s="513">
        <f>+J358*G414+E414</f>
        <v>0</v>
      </c>
      <c r="I414" s="520">
        <f>+J359*G414+E414</f>
        <v>0</v>
      </c>
      <c r="J414" s="516">
        <f t="shared" si="34"/>
        <v>0</v>
      </c>
      <c r="K414" s="516"/>
      <c r="L414" s="521"/>
      <c r="M414" s="516">
        <f t="shared" si="35"/>
        <v>0</v>
      </c>
      <c r="N414" s="521"/>
      <c r="O414" s="516">
        <f t="shared" si="36"/>
        <v>0</v>
      </c>
      <c r="P414" s="516">
        <f t="shared" si="37"/>
        <v>0</v>
      </c>
      <c r="Q414" s="479"/>
    </row>
    <row r="415" spans="3:17">
      <c r="C415" s="512">
        <f>IF(D357="","-",+C414+1)</f>
        <v>2068</v>
      </c>
      <c r="D415" s="477">
        <f t="shared" si="38"/>
        <v>0</v>
      </c>
      <c r="E415" s="519">
        <f t="shared" si="39"/>
        <v>0</v>
      </c>
      <c r="F415" s="519">
        <f t="shared" si="32"/>
        <v>0</v>
      </c>
      <c r="G415" s="477">
        <f t="shared" si="33"/>
        <v>0</v>
      </c>
      <c r="H415" s="513">
        <f>+J358*G415+E415</f>
        <v>0</v>
      </c>
      <c r="I415" s="520">
        <f>+J359*G415+E415</f>
        <v>0</v>
      </c>
      <c r="J415" s="516">
        <f t="shared" si="34"/>
        <v>0</v>
      </c>
      <c r="K415" s="516"/>
      <c r="L415" s="521"/>
      <c r="M415" s="516">
        <f t="shared" si="35"/>
        <v>0</v>
      </c>
      <c r="N415" s="521"/>
      <c r="O415" s="516">
        <f t="shared" si="36"/>
        <v>0</v>
      </c>
      <c r="P415" s="516">
        <f t="shared" si="37"/>
        <v>0</v>
      </c>
      <c r="Q415" s="479"/>
    </row>
    <row r="416" spans="3:17">
      <c r="C416" s="512">
        <f>IF(D357="","-",+C415+1)</f>
        <v>2069</v>
      </c>
      <c r="D416" s="477">
        <f t="shared" si="38"/>
        <v>0</v>
      </c>
      <c r="E416" s="519">
        <f t="shared" si="39"/>
        <v>0</v>
      </c>
      <c r="F416" s="519">
        <f t="shared" si="32"/>
        <v>0</v>
      </c>
      <c r="G416" s="477">
        <f t="shared" si="33"/>
        <v>0</v>
      </c>
      <c r="H416" s="513">
        <f>+J358*G416+E416</f>
        <v>0</v>
      </c>
      <c r="I416" s="520">
        <f>+J359*G416+E416</f>
        <v>0</v>
      </c>
      <c r="J416" s="516">
        <f t="shared" si="34"/>
        <v>0</v>
      </c>
      <c r="K416" s="516"/>
      <c r="L416" s="521"/>
      <c r="M416" s="516">
        <f t="shared" si="35"/>
        <v>0</v>
      </c>
      <c r="N416" s="521"/>
      <c r="O416" s="516">
        <f t="shared" si="36"/>
        <v>0</v>
      </c>
      <c r="P416" s="516">
        <f t="shared" si="37"/>
        <v>0</v>
      </c>
      <c r="Q416" s="479"/>
    </row>
    <row r="417" spans="1:17">
      <c r="C417" s="512">
        <f>IF(D357="","-",+C416+1)</f>
        <v>2070</v>
      </c>
      <c r="D417" s="477">
        <f t="shared" si="38"/>
        <v>0</v>
      </c>
      <c r="E417" s="519">
        <f t="shared" si="39"/>
        <v>0</v>
      </c>
      <c r="F417" s="519">
        <f t="shared" si="32"/>
        <v>0</v>
      </c>
      <c r="G417" s="477">
        <f t="shared" si="33"/>
        <v>0</v>
      </c>
      <c r="H417" s="513">
        <f>+J358*G417+E417</f>
        <v>0</v>
      </c>
      <c r="I417" s="520">
        <f>+J359*G417+E417</f>
        <v>0</v>
      </c>
      <c r="J417" s="516">
        <f t="shared" si="34"/>
        <v>0</v>
      </c>
      <c r="K417" s="516"/>
      <c r="L417" s="521"/>
      <c r="M417" s="516">
        <f t="shared" si="35"/>
        <v>0</v>
      </c>
      <c r="N417" s="521"/>
      <c r="O417" s="516">
        <f t="shared" si="36"/>
        <v>0</v>
      </c>
      <c r="P417" s="516">
        <f t="shared" si="37"/>
        <v>0</v>
      </c>
      <c r="Q417" s="479"/>
    </row>
    <row r="418" spans="1:17">
      <c r="C418" s="512">
        <f>IF(D357="","-",+C417+1)</f>
        <v>2071</v>
      </c>
      <c r="D418" s="477">
        <f t="shared" si="38"/>
        <v>0</v>
      </c>
      <c r="E418" s="519">
        <f t="shared" si="39"/>
        <v>0</v>
      </c>
      <c r="F418" s="519">
        <f t="shared" si="32"/>
        <v>0</v>
      </c>
      <c r="G418" s="477">
        <f t="shared" si="33"/>
        <v>0</v>
      </c>
      <c r="H418" s="513">
        <f>+J358*G418+E418</f>
        <v>0</v>
      </c>
      <c r="I418" s="520">
        <f>+J359*G418+E418</f>
        <v>0</v>
      </c>
      <c r="J418" s="516">
        <f t="shared" si="34"/>
        <v>0</v>
      </c>
      <c r="K418" s="516"/>
      <c r="L418" s="521"/>
      <c r="M418" s="516">
        <f t="shared" si="35"/>
        <v>0</v>
      </c>
      <c r="N418" s="521"/>
      <c r="O418" s="516">
        <f t="shared" si="36"/>
        <v>0</v>
      </c>
      <c r="P418" s="516">
        <f t="shared" si="37"/>
        <v>0</v>
      </c>
      <c r="Q418" s="479"/>
    </row>
    <row r="419" spans="1:17">
      <c r="C419" s="512">
        <f>IF(D357="","-",+C418+1)</f>
        <v>2072</v>
      </c>
      <c r="D419" s="477">
        <f t="shared" si="38"/>
        <v>0</v>
      </c>
      <c r="E419" s="519">
        <f t="shared" si="39"/>
        <v>0</v>
      </c>
      <c r="F419" s="519">
        <f t="shared" si="32"/>
        <v>0</v>
      </c>
      <c r="G419" s="477">
        <f t="shared" si="33"/>
        <v>0</v>
      </c>
      <c r="H419" s="513">
        <f>+J358*G419+E419</f>
        <v>0</v>
      </c>
      <c r="I419" s="520">
        <f>+J359*G419+E419</f>
        <v>0</v>
      </c>
      <c r="J419" s="516">
        <f t="shared" si="34"/>
        <v>0</v>
      </c>
      <c r="K419" s="516"/>
      <c r="L419" s="521"/>
      <c r="M419" s="516">
        <f t="shared" si="35"/>
        <v>0</v>
      </c>
      <c r="N419" s="521"/>
      <c r="O419" s="516">
        <f t="shared" si="36"/>
        <v>0</v>
      </c>
      <c r="P419" s="516">
        <f t="shared" si="37"/>
        <v>0</v>
      </c>
      <c r="Q419" s="479"/>
    </row>
    <row r="420" spans="1:17">
      <c r="C420" s="512">
        <f>IF(D357="","-",+C419+1)</f>
        <v>2073</v>
      </c>
      <c r="D420" s="477">
        <f t="shared" si="38"/>
        <v>0</v>
      </c>
      <c r="E420" s="519">
        <f t="shared" si="39"/>
        <v>0</v>
      </c>
      <c r="F420" s="519">
        <f t="shared" si="32"/>
        <v>0</v>
      </c>
      <c r="G420" s="477">
        <f t="shared" si="33"/>
        <v>0</v>
      </c>
      <c r="H420" s="513">
        <f>+J358*G420+E420</f>
        <v>0</v>
      </c>
      <c r="I420" s="520">
        <f>+J359*G420+E420</f>
        <v>0</v>
      </c>
      <c r="J420" s="516">
        <f t="shared" si="34"/>
        <v>0</v>
      </c>
      <c r="K420" s="516"/>
      <c r="L420" s="521"/>
      <c r="M420" s="516">
        <f t="shared" si="35"/>
        <v>0</v>
      </c>
      <c r="N420" s="521"/>
      <c r="O420" s="516">
        <f t="shared" si="36"/>
        <v>0</v>
      </c>
      <c r="P420" s="516">
        <f t="shared" si="37"/>
        <v>0</v>
      </c>
      <c r="Q420" s="479"/>
    </row>
    <row r="421" spans="1:17">
      <c r="C421" s="512">
        <f>IF(D357="","-",+C420+1)</f>
        <v>2074</v>
      </c>
      <c r="D421" s="477">
        <f t="shared" si="38"/>
        <v>0</v>
      </c>
      <c r="E421" s="519">
        <f t="shared" si="39"/>
        <v>0</v>
      </c>
      <c r="F421" s="519">
        <f t="shared" si="32"/>
        <v>0</v>
      </c>
      <c r="G421" s="477">
        <f t="shared" si="33"/>
        <v>0</v>
      </c>
      <c r="H421" s="513">
        <f>+J358*G421+E421</f>
        <v>0</v>
      </c>
      <c r="I421" s="520">
        <f>+J359*G421+E421</f>
        <v>0</v>
      </c>
      <c r="J421" s="516">
        <f t="shared" si="34"/>
        <v>0</v>
      </c>
      <c r="K421" s="516"/>
      <c r="L421" s="521"/>
      <c r="M421" s="516">
        <f t="shared" si="35"/>
        <v>0</v>
      </c>
      <c r="N421" s="521"/>
      <c r="O421" s="516">
        <f t="shared" si="36"/>
        <v>0</v>
      </c>
      <c r="P421" s="516">
        <f t="shared" si="37"/>
        <v>0</v>
      </c>
      <c r="Q421" s="479"/>
    </row>
    <row r="422" spans="1:17" ht="13.5" thickBot="1">
      <c r="C422" s="523">
        <f>IF(D357="","-",+C421+1)</f>
        <v>2075</v>
      </c>
      <c r="D422" s="524">
        <f t="shared" si="38"/>
        <v>0</v>
      </c>
      <c r="E422" s="974">
        <f t="shared" si="39"/>
        <v>0</v>
      </c>
      <c r="F422" s="525">
        <f t="shared" si="32"/>
        <v>0</v>
      </c>
      <c r="G422" s="524">
        <f t="shared" si="33"/>
        <v>0</v>
      </c>
      <c r="H422" s="526">
        <f>+J358*G422+E422</f>
        <v>0</v>
      </c>
      <c r="I422" s="526">
        <f>+J359*G422+E422</f>
        <v>0</v>
      </c>
      <c r="J422" s="527">
        <f t="shared" si="34"/>
        <v>0</v>
      </c>
      <c r="K422" s="516"/>
      <c r="L422" s="528"/>
      <c r="M422" s="527">
        <f t="shared" si="35"/>
        <v>0</v>
      </c>
      <c r="N422" s="528"/>
      <c r="O422" s="527">
        <f t="shared" si="36"/>
        <v>0</v>
      </c>
      <c r="P422" s="527">
        <f t="shared" si="37"/>
        <v>0</v>
      </c>
      <c r="Q422" s="479"/>
    </row>
    <row r="423" spans="1:17">
      <c r="C423" s="477" t="s">
        <v>289</v>
      </c>
      <c r="D423" s="475"/>
      <c r="E423" s="475">
        <f>SUM(E363:E422)</f>
        <v>1112262.6599999997</v>
      </c>
      <c r="F423" s="475"/>
      <c r="G423" s="475"/>
      <c r="H423" s="475">
        <f>SUM(H363:H422)</f>
        <v>3562866.0761331907</v>
      </c>
      <c r="I423" s="475">
        <f>SUM(I363:I422)</f>
        <v>3562866.0761331907</v>
      </c>
      <c r="J423" s="475">
        <f>SUM(J363:J422)</f>
        <v>0</v>
      </c>
      <c r="K423" s="475"/>
      <c r="L423" s="475"/>
      <c r="M423" s="475"/>
      <c r="N423" s="475"/>
      <c r="O423" s="475"/>
      <c r="Q423" s="475"/>
    </row>
    <row r="424" spans="1:17">
      <c r="D424" s="82"/>
      <c r="E424" s="4"/>
      <c r="F424" s="4"/>
      <c r="G424" s="4"/>
      <c r="H424" s="4"/>
      <c r="I424" s="460"/>
      <c r="J424" s="460"/>
      <c r="K424" s="475"/>
      <c r="L424" s="460"/>
      <c r="M424" s="460"/>
      <c r="N424" s="460"/>
      <c r="O424" s="460"/>
      <c r="Q424" s="475"/>
    </row>
    <row r="425" spans="1:17">
      <c r="C425" s="4" t="s">
        <v>596</v>
      </c>
      <c r="D425" s="82"/>
      <c r="E425" s="4"/>
      <c r="F425" s="4"/>
      <c r="G425" s="4"/>
      <c r="H425" s="4"/>
      <c r="I425" s="460"/>
      <c r="J425" s="460"/>
      <c r="K425" s="475"/>
      <c r="L425" s="460"/>
      <c r="M425" s="460"/>
      <c r="N425" s="460"/>
      <c r="O425" s="460"/>
      <c r="Q425" s="475"/>
    </row>
    <row r="426" spans="1:17">
      <c r="D426" s="82"/>
      <c r="E426" s="4"/>
      <c r="F426" s="4"/>
      <c r="G426" s="4"/>
      <c r="H426" s="4"/>
      <c r="I426" s="460"/>
      <c r="J426" s="460"/>
      <c r="K426" s="475"/>
      <c r="L426" s="460"/>
      <c r="M426" s="460"/>
      <c r="N426" s="460"/>
      <c r="O426" s="460"/>
      <c r="Q426" s="475"/>
    </row>
    <row r="427" spans="1:17">
      <c r="C427" s="4" t="s">
        <v>597</v>
      </c>
      <c r="D427" s="477"/>
      <c r="E427" s="477"/>
      <c r="F427" s="477"/>
      <c r="G427" s="477"/>
      <c r="H427" s="475"/>
      <c r="I427" s="475"/>
      <c r="J427" s="479"/>
      <c r="K427" s="479"/>
      <c r="L427" s="479"/>
      <c r="M427" s="479"/>
      <c r="N427" s="479"/>
      <c r="O427" s="479"/>
      <c r="Q427" s="479"/>
    </row>
    <row r="428" spans="1:17">
      <c r="C428" s="4" t="s">
        <v>477</v>
      </c>
      <c r="D428" s="477"/>
      <c r="E428" s="477"/>
      <c r="F428" s="477"/>
      <c r="G428" s="477"/>
      <c r="H428" s="475"/>
      <c r="I428" s="475"/>
      <c r="J428" s="479"/>
      <c r="K428" s="479"/>
      <c r="L428" s="479"/>
      <c r="M428" s="479"/>
      <c r="N428" s="479"/>
      <c r="O428" s="479"/>
      <c r="Q428" s="479"/>
    </row>
    <row r="429" spans="1:17">
      <c r="C429" s="4" t="s">
        <v>290</v>
      </c>
      <c r="D429" s="477"/>
      <c r="E429" s="477"/>
      <c r="F429" s="477"/>
      <c r="G429" s="477"/>
      <c r="H429" s="475"/>
      <c r="I429" s="475"/>
      <c r="J429" s="479"/>
      <c r="K429" s="479"/>
      <c r="L429" s="479"/>
      <c r="M429" s="479"/>
      <c r="N429" s="479"/>
      <c r="O429" s="479"/>
      <c r="Q429" s="479"/>
    </row>
    <row r="430" spans="1:17">
      <c r="C430" s="478"/>
      <c r="D430" s="477"/>
      <c r="E430" s="477"/>
      <c r="F430" s="477"/>
      <c r="G430" s="477"/>
      <c r="H430" s="475"/>
      <c r="I430" s="475"/>
      <c r="J430" s="479"/>
      <c r="K430" s="479"/>
      <c r="L430" s="479"/>
      <c r="M430" s="479"/>
      <c r="N430" s="479"/>
      <c r="O430" s="479"/>
      <c r="Q430" s="479"/>
    </row>
    <row r="431" spans="1:17" ht="20.25">
      <c r="A431" s="419" t="s">
        <v>763</v>
      </c>
      <c r="B431" s="4"/>
      <c r="C431" s="4"/>
      <c r="D431" s="82"/>
      <c r="E431" s="4"/>
      <c r="F431" s="84"/>
      <c r="G431" s="84"/>
      <c r="H431" s="4"/>
      <c r="I431" s="460"/>
      <c r="L431" s="11"/>
      <c r="M431" s="11"/>
      <c r="N431" s="11"/>
      <c r="O431" s="11" t="str">
        <f>"Page "&amp;SUM(Q$3:Q431)&amp;" of "</f>
        <v xml:space="preserve">Page 8 of </v>
      </c>
      <c r="P431" s="420">
        <f>COUNT(Q$8:Q$58123)</f>
        <v>15</v>
      </c>
      <c r="Q431" s="547">
        <v>1</v>
      </c>
    </row>
    <row r="432" spans="1:17">
      <c r="B432" s="4"/>
      <c r="C432" s="4"/>
      <c r="D432" s="82"/>
      <c r="E432" s="4"/>
      <c r="F432" s="4"/>
      <c r="G432" s="4"/>
      <c r="H432" s="4"/>
      <c r="I432" s="460"/>
      <c r="J432" s="4"/>
      <c r="K432" s="4"/>
    </row>
    <row r="433" spans="1:17" ht="18">
      <c r="B433" s="421" t="s">
        <v>175</v>
      </c>
      <c r="C433" s="480" t="s">
        <v>291</v>
      </c>
      <c r="D433" s="82"/>
      <c r="E433" s="4"/>
      <c r="F433" s="4"/>
      <c r="G433" s="4"/>
      <c r="H433" s="4"/>
      <c r="I433" s="460"/>
      <c r="J433" s="460"/>
      <c r="K433" s="475"/>
      <c r="L433" s="460"/>
      <c r="M433" s="460"/>
      <c r="N433" s="460"/>
      <c r="O433" s="460"/>
      <c r="Q433" s="475"/>
    </row>
    <row r="434" spans="1:17" ht="18.75">
      <c r="B434" s="421"/>
      <c r="C434" s="13"/>
      <c r="D434" s="82"/>
      <c r="E434" s="4"/>
      <c r="F434" s="4"/>
      <c r="G434" s="4"/>
      <c r="H434" s="4"/>
      <c r="I434" s="460"/>
      <c r="J434" s="460"/>
      <c r="K434" s="475"/>
      <c r="L434" s="460"/>
      <c r="M434" s="460"/>
      <c r="N434" s="460"/>
      <c r="O434" s="460"/>
      <c r="Q434" s="475"/>
    </row>
    <row r="435" spans="1:17" ht="18.75">
      <c r="B435" s="421"/>
      <c r="C435" s="13" t="s">
        <v>292</v>
      </c>
      <c r="D435" s="82"/>
      <c r="E435" s="4"/>
      <c r="F435" s="4"/>
      <c r="G435" s="4"/>
      <c r="H435" s="4"/>
      <c r="I435" s="460"/>
      <c r="J435" s="460"/>
      <c r="K435" s="475"/>
      <c r="L435" s="460"/>
      <c r="M435" s="460"/>
      <c r="N435" s="460"/>
      <c r="O435" s="460"/>
      <c r="Q435" s="475"/>
    </row>
    <row r="436" spans="1:17" ht="15.75" thickBot="1">
      <c r="C436" s="254"/>
      <c r="D436" s="82"/>
      <c r="E436" s="4"/>
      <c r="F436" s="4"/>
      <c r="G436" s="4"/>
      <c r="H436" s="4"/>
      <c r="I436" s="460"/>
      <c r="J436" s="460"/>
      <c r="K436" s="475"/>
      <c r="L436" s="460"/>
      <c r="M436" s="460"/>
      <c r="N436" s="460"/>
      <c r="O436" s="460"/>
      <c r="Q436" s="475"/>
    </row>
    <row r="437" spans="1:17" ht="15.75">
      <c r="C437" s="422" t="s">
        <v>293</v>
      </c>
      <c r="D437" s="82"/>
      <c r="E437" s="4"/>
      <c r="F437" s="4"/>
      <c r="G437" s="4"/>
      <c r="H437" s="645"/>
      <c r="I437" s="4" t="s">
        <v>272</v>
      </c>
      <c r="J437" s="4"/>
      <c r="K437" s="4"/>
      <c r="L437" s="548">
        <f>+J443</f>
        <v>2025</v>
      </c>
      <c r="M437" s="532" t="s">
        <v>255</v>
      </c>
      <c r="N437" s="532" t="s">
        <v>256</v>
      </c>
      <c r="O437" s="533" t="s">
        <v>257</v>
      </c>
    </row>
    <row r="438" spans="1:17" ht="15.75">
      <c r="C438" s="422"/>
      <c r="D438" s="82"/>
      <c r="E438" s="4"/>
      <c r="F438" s="4"/>
      <c r="H438" s="4"/>
      <c r="I438" s="484"/>
      <c r="J438" s="484"/>
      <c r="K438" s="485"/>
      <c r="L438" s="549" t="s">
        <v>456</v>
      </c>
      <c r="M438" s="550">
        <f>VLOOKUP(J443,C450:P509,10)</f>
        <v>88894.139022285584</v>
      </c>
      <c r="N438" s="550">
        <f>VLOOKUP(J443,C450:P509,12)</f>
        <v>88894.139022285584</v>
      </c>
      <c r="O438" s="551">
        <f>+N438-M438</f>
        <v>0</v>
      </c>
      <c r="Q438" s="485"/>
    </row>
    <row r="439" spans="1:17">
      <c r="C439" s="487" t="s">
        <v>294</v>
      </c>
      <c r="D439" s="1274" t="s">
        <v>936</v>
      </c>
      <c r="E439" s="1275"/>
      <c r="F439" s="1275"/>
      <c r="G439" s="1275"/>
      <c r="H439" s="1275"/>
      <c r="I439" s="1275"/>
      <c r="J439" s="460"/>
      <c r="K439" s="475"/>
      <c r="L439" s="549" t="s">
        <v>457</v>
      </c>
      <c r="M439" s="552">
        <f>VLOOKUP(J443,C450:P509,6)</f>
        <v>84900.451288347846</v>
      </c>
      <c r="N439" s="552">
        <f>VLOOKUP(J443,C450:P509,7)</f>
        <v>84900.451288347846</v>
      </c>
      <c r="O439" s="553">
        <f>+N439-M439</f>
        <v>0</v>
      </c>
      <c r="Q439" s="475"/>
    </row>
    <row r="440" spans="1:17" ht="13.5" thickBot="1">
      <c r="C440" s="489"/>
      <c r="D440" s="1275"/>
      <c r="E440" s="1275"/>
      <c r="F440" s="1275"/>
      <c r="G440" s="1275"/>
      <c r="H440" s="1275"/>
      <c r="I440" s="1275"/>
      <c r="J440" s="460"/>
      <c r="K440" s="475"/>
      <c r="L440" s="499" t="s">
        <v>458</v>
      </c>
      <c r="M440" s="554">
        <f>+M439-M438</f>
        <v>-3993.6877339377388</v>
      </c>
      <c r="N440" s="554">
        <f>+N439-N438</f>
        <v>-3993.6877339377388</v>
      </c>
      <c r="O440" s="555">
        <f>+O439-O438</f>
        <v>0</v>
      </c>
      <c r="Q440" s="475"/>
    </row>
    <row r="441" spans="1:17" ht="13.5" thickBot="1">
      <c r="C441" s="489"/>
      <c r="D441" s="4"/>
      <c r="E441" s="490"/>
      <c r="F441" s="490"/>
      <c r="G441" s="490"/>
      <c r="H441" s="490"/>
      <c r="I441" s="490"/>
      <c r="J441" s="490"/>
      <c r="K441" s="490"/>
      <c r="L441" s="490"/>
      <c r="M441" s="490"/>
      <c r="N441" s="490"/>
      <c r="O441" s="490"/>
      <c r="Q441" s="490"/>
    </row>
    <row r="442" spans="1:17" ht="13.5" thickBot="1">
      <c r="C442" s="491" t="s">
        <v>295</v>
      </c>
      <c r="D442" s="492"/>
      <c r="E442" s="492"/>
      <c r="F442" s="492"/>
      <c r="G442" s="492"/>
      <c r="H442" s="492"/>
      <c r="I442" s="492"/>
      <c r="J442" s="492"/>
      <c r="Q442"/>
    </row>
    <row r="443" spans="1:17" ht="15">
      <c r="A443" s="978"/>
      <c r="C443" s="494" t="s">
        <v>273</v>
      </c>
      <c r="D443" s="946">
        <v>818037.26</v>
      </c>
      <c r="E443" s="4" t="s">
        <v>274</v>
      </c>
      <c r="H443" s="82"/>
      <c r="I443" s="82"/>
      <c r="J443" s="495">
        <f>$J$95</f>
        <v>2025</v>
      </c>
      <c r="K443" s="138"/>
      <c r="L443" s="1284" t="s">
        <v>275</v>
      </c>
      <c r="M443" s="1284"/>
      <c r="N443" s="1284"/>
      <c r="O443" s="1284"/>
      <c r="Q443" s="138"/>
    </row>
    <row r="444" spans="1:17">
      <c r="A444" s="978"/>
      <c r="C444" s="494" t="s">
        <v>276</v>
      </c>
      <c r="D444" s="647">
        <v>2013</v>
      </c>
      <c r="E444" s="494" t="s">
        <v>277</v>
      </c>
      <c r="F444" s="82"/>
      <c r="G444" s="82"/>
      <c r="I444"/>
      <c r="J444" s="650">
        <v>0</v>
      </c>
      <c r="K444" s="496"/>
      <c r="L444" s="475" t="s">
        <v>476</v>
      </c>
      <c r="Q444" s="496"/>
    </row>
    <row r="445" spans="1:17">
      <c r="A445" s="978"/>
      <c r="C445" s="494" t="s">
        <v>278</v>
      </c>
      <c r="D445" s="946">
        <v>12</v>
      </c>
      <c r="E445" s="494" t="s">
        <v>279</v>
      </c>
      <c r="F445" s="82"/>
      <c r="G445" s="82"/>
      <c r="I445"/>
      <c r="J445" s="497">
        <f>$F$70</f>
        <v>0.11108872081308177</v>
      </c>
      <c r="K445" s="84"/>
      <c r="L445" s="4" t="str">
        <f>"          INPUT TRUE-UP ARR (WITH &amp; WITHOUT INCENTIVES) FROM EACH PRIOR YEAR"</f>
        <v xml:space="preserve">          INPUT TRUE-UP ARR (WITH &amp; WITHOUT INCENTIVES) FROM EACH PRIOR YEAR</v>
      </c>
      <c r="Q445" s="84"/>
    </row>
    <row r="446" spans="1:17">
      <c r="A446" s="978"/>
      <c r="C446" s="494" t="s">
        <v>280</v>
      </c>
      <c r="D446" s="498">
        <f>H79</f>
        <v>38</v>
      </c>
      <c r="E446" s="494" t="s">
        <v>281</v>
      </c>
      <c r="F446" s="82"/>
      <c r="G446" s="82"/>
      <c r="I446"/>
      <c r="J446" s="497">
        <f>IF(H437="",J445,$F$69)</f>
        <v>0.11108872081308177</v>
      </c>
      <c r="K446" s="84"/>
      <c r="L446" s="4" t="s">
        <v>363</v>
      </c>
      <c r="M446" s="84"/>
      <c r="N446" s="84"/>
      <c r="O446" s="84"/>
      <c r="Q446" s="84"/>
    </row>
    <row r="447" spans="1:17" ht="13.5" thickBot="1">
      <c r="A447" s="978"/>
      <c r="C447" s="494" t="s">
        <v>282</v>
      </c>
      <c r="D447" s="649" t="s">
        <v>930</v>
      </c>
      <c r="E447" s="499" t="s">
        <v>283</v>
      </c>
      <c r="F447" s="500"/>
      <c r="G447" s="500"/>
      <c r="H447" s="501"/>
      <c r="I447" s="501"/>
      <c r="J447" s="488">
        <f>IF(D443=0,0,D443/D446)</f>
        <v>21527.296315789474</v>
      </c>
      <c r="K447" s="475"/>
      <c r="L447" s="475" t="s">
        <v>364</v>
      </c>
      <c r="M447" s="475"/>
      <c r="N447" s="475"/>
      <c r="O447" s="475"/>
      <c r="Q447" s="475"/>
    </row>
    <row r="448" spans="1:17" ht="38.25">
      <c r="A448" s="12"/>
      <c r="B448" s="12"/>
      <c r="C448" s="502" t="s">
        <v>273</v>
      </c>
      <c r="D448" s="503" t="s">
        <v>284</v>
      </c>
      <c r="E448" s="504" t="s">
        <v>285</v>
      </c>
      <c r="F448" s="503" t="s">
        <v>286</v>
      </c>
      <c r="G448" s="503" t="s">
        <v>459</v>
      </c>
      <c r="H448" s="504" t="s">
        <v>357</v>
      </c>
      <c r="I448" s="505" t="s">
        <v>357</v>
      </c>
      <c r="J448" s="502" t="s">
        <v>296</v>
      </c>
      <c r="K448" s="506"/>
      <c r="L448" s="504" t="s">
        <v>359</v>
      </c>
      <c r="M448" s="504" t="s">
        <v>365</v>
      </c>
      <c r="N448" s="504" t="s">
        <v>359</v>
      </c>
      <c r="O448" s="504" t="s">
        <v>367</v>
      </c>
      <c r="P448" s="504" t="s">
        <v>287</v>
      </c>
      <c r="Q448" s="131"/>
    </row>
    <row r="449" spans="3:17" ht="13.5" thickBot="1">
      <c r="C449" s="507" t="s">
        <v>178</v>
      </c>
      <c r="D449" s="508" t="s">
        <v>179</v>
      </c>
      <c r="E449" s="507" t="s">
        <v>38</v>
      </c>
      <c r="F449" s="508" t="s">
        <v>179</v>
      </c>
      <c r="G449" s="508" t="s">
        <v>179</v>
      </c>
      <c r="H449" s="509" t="s">
        <v>299</v>
      </c>
      <c r="I449" s="510" t="s">
        <v>301</v>
      </c>
      <c r="J449" s="507" t="s">
        <v>390</v>
      </c>
      <c r="K449" s="511"/>
      <c r="L449" s="509" t="s">
        <v>288</v>
      </c>
      <c r="M449" s="509" t="s">
        <v>288</v>
      </c>
      <c r="N449" s="509" t="s">
        <v>468</v>
      </c>
      <c r="O449" s="509" t="s">
        <v>468</v>
      </c>
      <c r="P449" s="509" t="s">
        <v>468</v>
      </c>
      <c r="Q449" s="138"/>
    </row>
    <row r="450" spans="3:17">
      <c r="C450" s="512">
        <f>IF(D444= "","-",D444)</f>
        <v>2013</v>
      </c>
      <c r="D450" s="477">
        <f>+D443</f>
        <v>818037.26</v>
      </c>
      <c r="E450" s="513">
        <f>+J447/12*(12-D445)</f>
        <v>0</v>
      </c>
      <c r="F450" s="556">
        <f t="shared" ref="F450:F509" si="40">+D450-E450</f>
        <v>818037.26</v>
      </c>
      <c r="G450" s="477">
        <f t="shared" ref="G450:G509" si="41">+(D450+F450)/2</f>
        <v>818037.26</v>
      </c>
      <c r="H450" s="514">
        <f>+J445*G450+E450</f>
        <v>90874.712790838385</v>
      </c>
      <c r="I450" s="515">
        <f>+J446*G450+E450</f>
        <v>90874.712790838385</v>
      </c>
      <c r="J450" s="516">
        <f t="shared" ref="J450:J509" si="42">+I450-H450</f>
        <v>0</v>
      </c>
      <c r="K450" s="516"/>
      <c r="L450" s="517">
        <v>9.9999999999999995E-7</v>
      </c>
      <c r="M450" s="557">
        <f t="shared" ref="M450:M509" si="43">IF(L450&lt;&gt;0,+H450-L450,0)</f>
        <v>90874.712789838391</v>
      </c>
      <c r="N450" s="517">
        <v>9.9999999999999995E-7</v>
      </c>
      <c r="O450" s="557">
        <f t="shared" ref="O450:O509" si="44">IF(N450&lt;&gt;0,+I450-N450,0)</f>
        <v>90874.712789838391</v>
      </c>
      <c r="P450" s="557">
        <f t="shared" ref="P450:P509" si="45">+O450-M450</f>
        <v>0</v>
      </c>
      <c r="Q450" s="479"/>
    </row>
    <row r="451" spans="3:17">
      <c r="C451" s="512">
        <f>IF(D444="","-",+C450+1)</f>
        <v>2014</v>
      </c>
      <c r="D451" s="477">
        <f t="shared" ref="D451:D509" si="46">F450</f>
        <v>818037.26</v>
      </c>
      <c r="E451" s="519">
        <f>IF(D451&gt;$J$447,$J$447,D451)</f>
        <v>21527.296315789474</v>
      </c>
      <c r="F451" s="519">
        <f t="shared" si="40"/>
        <v>796509.96368421055</v>
      </c>
      <c r="G451" s="477">
        <f t="shared" si="41"/>
        <v>807273.61184210528</v>
      </c>
      <c r="H451" s="513">
        <f>+J445*G451+E451</f>
        <v>111206.28920148524</v>
      </c>
      <c r="I451" s="520">
        <f>+J446*G451+E451</f>
        <v>111206.28920148524</v>
      </c>
      <c r="J451" s="516">
        <f t="shared" si="42"/>
        <v>0</v>
      </c>
      <c r="K451" s="516"/>
      <c r="L451" s="521">
        <v>139756</v>
      </c>
      <c r="M451" s="516">
        <f t="shared" si="43"/>
        <v>-28549.71079851476</v>
      </c>
      <c r="N451" s="521">
        <v>139756</v>
      </c>
      <c r="O451" s="516">
        <f t="shared" si="44"/>
        <v>-28549.71079851476</v>
      </c>
      <c r="P451" s="516">
        <f t="shared" si="45"/>
        <v>0</v>
      </c>
      <c r="Q451" s="479"/>
    </row>
    <row r="452" spans="3:17">
      <c r="C452" s="512">
        <f>IF(D444="","-",+C451+1)</f>
        <v>2015</v>
      </c>
      <c r="D452" s="477">
        <f t="shared" si="46"/>
        <v>796509.96368421055</v>
      </c>
      <c r="E452" s="519">
        <f t="shared" ref="E452:E509" si="47">IF(D452&gt;$J$447,$J$447,D452)</f>
        <v>21527.296315789474</v>
      </c>
      <c r="F452" s="519">
        <f t="shared" si="40"/>
        <v>774982.6673684211</v>
      </c>
      <c r="G452" s="477">
        <f t="shared" si="41"/>
        <v>785746.31552631583</v>
      </c>
      <c r="H452" s="513">
        <f>+J445*G452+E452</f>
        <v>108814.84939120003</v>
      </c>
      <c r="I452" s="520">
        <f>+J446*G452+E452</f>
        <v>108814.84939120003</v>
      </c>
      <c r="J452" s="516">
        <f t="shared" si="42"/>
        <v>0</v>
      </c>
      <c r="K452" s="516"/>
      <c r="L452" s="521">
        <v>133078</v>
      </c>
      <c r="M452" s="516">
        <f t="shared" si="43"/>
        <v>-24263.150608799973</v>
      </c>
      <c r="N452" s="521">
        <v>133078</v>
      </c>
      <c r="O452" s="516">
        <f t="shared" si="44"/>
        <v>-24263.150608799973</v>
      </c>
      <c r="P452" s="516">
        <f t="shared" si="45"/>
        <v>0</v>
      </c>
      <c r="Q452" s="479"/>
    </row>
    <row r="453" spans="3:17">
      <c r="C453" s="512">
        <f>IF(D444="","-",+C452+1)</f>
        <v>2016</v>
      </c>
      <c r="D453" s="477">
        <f t="shared" si="46"/>
        <v>774982.6673684211</v>
      </c>
      <c r="E453" s="519">
        <f t="shared" si="47"/>
        <v>21527.296315789474</v>
      </c>
      <c r="F453" s="519">
        <f t="shared" si="40"/>
        <v>753455.37105263164</v>
      </c>
      <c r="G453" s="477">
        <f t="shared" si="41"/>
        <v>764219.01921052637</v>
      </c>
      <c r="H453" s="513">
        <f>+J445*G453+E453</f>
        <v>106423.40958091481</v>
      </c>
      <c r="I453" s="520">
        <f>+J446*G453+E453</f>
        <v>106423.40958091481</v>
      </c>
      <c r="J453" s="516">
        <f t="shared" si="42"/>
        <v>0</v>
      </c>
      <c r="K453" s="516"/>
      <c r="L453" s="521">
        <v>132118</v>
      </c>
      <c r="M453" s="516">
        <f t="shared" si="43"/>
        <v>-25694.590419085187</v>
      </c>
      <c r="N453" s="521">
        <v>132118</v>
      </c>
      <c r="O453" s="516">
        <f t="shared" si="44"/>
        <v>-25694.590419085187</v>
      </c>
      <c r="P453" s="516">
        <f t="shared" si="45"/>
        <v>0</v>
      </c>
      <c r="Q453" s="479"/>
    </row>
    <row r="454" spans="3:17">
      <c r="C454" s="512">
        <f>IF(D444="","-",+C453+1)</f>
        <v>2017</v>
      </c>
      <c r="D454" s="477">
        <f t="shared" si="46"/>
        <v>753455.37105263164</v>
      </c>
      <c r="E454" s="519">
        <f t="shared" si="47"/>
        <v>21527.296315789474</v>
      </c>
      <c r="F454" s="519">
        <f t="shared" si="40"/>
        <v>731928.07473684219</v>
      </c>
      <c r="G454" s="477">
        <f t="shared" si="41"/>
        <v>742691.72289473691</v>
      </c>
      <c r="H454" s="513">
        <f>+J445*G454+E454</f>
        <v>104031.96977062958</v>
      </c>
      <c r="I454" s="520">
        <f>+J446*G454+E454</f>
        <v>104031.96977062958</v>
      </c>
      <c r="J454" s="516">
        <f t="shared" si="42"/>
        <v>0</v>
      </c>
      <c r="K454" s="516"/>
      <c r="L454" s="521">
        <v>119121</v>
      </c>
      <c r="M454" s="516">
        <f t="shared" si="43"/>
        <v>-15089.030229370415</v>
      </c>
      <c r="N454" s="521">
        <v>119121</v>
      </c>
      <c r="O454" s="516">
        <f t="shared" si="44"/>
        <v>-15089.030229370415</v>
      </c>
      <c r="P454" s="516">
        <f t="shared" si="45"/>
        <v>0</v>
      </c>
      <c r="Q454" s="479"/>
    </row>
    <row r="455" spans="3:17">
      <c r="C455" s="512">
        <f>IF(D444="","-",+C454+1)</f>
        <v>2018</v>
      </c>
      <c r="D455" s="477">
        <f t="shared" si="46"/>
        <v>731928.07473684219</v>
      </c>
      <c r="E455" s="519">
        <f t="shared" si="47"/>
        <v>21527.296315789474</v>
      </c>
      <c r="F455" s="519">
        <f t="shared" si="40"/>
        <v>710400.77842105273</v>
      </c>
      <c r="G455" s="477">
        <f t="shared" si="41"/>
        <v>721164.42657894746</v>
      </c>
      <c r="H455" s="513">
        <f>+J445*G455+E455</f>
        <v>101640.52996034437</v>
      </c>
      <c r="I455" s="520">
        <f>+J446*G455+E455</f>
        <v>101640.52996034437</v>
      </c>
      <c r="J455" s="516">
        <f t="shared" si="42"/>
        <v>0</v>
      </c>
      <c r="K455" s="516"/>
      <c r="L455" s="521">
        <v>98812</v>
      </c>
      <c r="M455" s="516">
        <f t="shared" si="43"/>
        <v>2828.5299603443709</v>
      </c>
      <c r="N455" s="521">
        <v>98812</v>
      </c>
      <c r="O455" s="516">
        <f t="shared" si="44"/>
        <v>2828.5299603443709</v>
      </c>
      <c r="P455" s="516">
        <f t="shared" si="45"/>
        <v>0</v>
      </c>
      <c r="Q455" s="479"/>
    </row>
    <row r="456" spans="3:17">
      <c r="C456" s="512">
        <f>IF(D444="","-",+C455+1)</f>
        <v>2019</v>
      </c>
      <c r="D456" s="477">
        <f t="shared" si="46"/>
        <v>710400.77842105273</v>
      </c>
      <c r="E456" s="519">
        <f t="shared" si="47"/>
        <v>21527.296315789474</v>
      </c>
      <c r="F456" s="519">
        <f t="shared" si="40"/>
        <v>688873.48210526328</v>
      </c>
      <c r="G456" s="477">
        <f t="shared" si="41"/>
        <v>699637.130263158</v>
      </c>
      <c r="H456" s="513">
        <f>+J445*G456+E456</f>
        <v>99249.090150059157</v>
      </c>
      <c r="I456" s="520">
        <f>+J446*G456+E456</f>
        <v>99249.090150059157</v>
      </c>
      <c r="J456" s="516">
        <f t="shared" si="42"/>
        <v>0</v>
      </c>
      <c r="K456" s="516"/>
      <c r="L456" s="521">
        <v>91807.011269923081</v>
      </c>
      <c r="M456" s="516">
        <f t="shared" si="43"/>
        <v>7442.0788801360759</v>
      </c>
      <c r="N456" s="521">
        <v>91807.011269923081</v>
      </c>
      <c r="O456" s="516">
        <f t="shared" si="44"/>
        <v>7442.0788801360759</v>
      </c>
      <c r="P456" s="516">
        <f t="shared" si="45"/>
        <v>0</v>
      </c>
      <c r="Q456" s="479"/>
    </row>
    <row r="457" spans="3:17">
      <c r="C457" s="512">
        <f>IF(D444="","-",+C456+1)</f>
        <v>2020</v>
      </c>
      <c r="D457" s="477">
        <f t="shared" si="46"/>
        <v>688873.48210526328</v>
      </c>
      <c r="E457" s="519">
        <f t="shared" si="47"/>
        <v>21527.296315789474</v>
      </c>
      <c r="F457" s="519">
        <f t="shared" si="40"/>
        <v>667346.18578947382</v>
      </c>
      <c r="G457" s="477">
        <f t="shared" si="41"/>
        <v>678109.83394736855</v>
      </c>
      <c r="H457" s="513">
        <f>+J445*G457+E457</f>
        <v>96857.650339773929</v>
      </c>
      <c r="I457" s="520">
        <f>+J446*G457+E457</f>
        <v>96857.650339773929</v>
      </c>
      <c r="J457" s="516">
        <f t="shared" si="42"/>
        <v>0</v>
      </c>
      <c r="K457" s="516"/>
      <c r="L457" s="521">
        <v>87283.147997198728</v>
      </c>
      <c r="M457" s="516">
        <f t="shared" si="43"/>
        <v>9574.5023425752006</v>
      </c>
      <c r="N457" s="521">
        <v>87283.147997198728</v>
      </c>
      <c r="O457" s="516">
        <f t="shared" si="44"/>
        <v>9574.5023425752006</v>
      </c>
      <c r="P457" s="516">
        <f t="shared" si="45"/>
        <v>0</v>
      </c>
      <c r="Q457" s="479"/>
    </row>
    <row r="458" spans="3:17">
      <c r="C458" s="512">
        <f>IF(D444="","-",+C457+1)</f>
        <v>2021</v>
      </c>
      <c r="D458" s="477">
        <f t="shared" si="46"/>
        <v>667346.18578947382</v>
      </c>
      <c r="E458" s="519">
        <f t="shared" si="47"/>
        <v>21527.296315789474</v>
      </c>
      <c r="F458" s="519">
        <f t="shared" si="40"/>
        <v>645818.88947368436</v>
      </c>
      <c r="G458" s="477">
        <f t="shared" si="41"/>
        <v>656582.53763157909</v>
      </c>
      <c r="H458" s="513">
        <f>+J445*G458+E458</f>
        <v>94466.210529488715</v>
      </c>
      <c r="I458" s="520">
        <f>+J446*G458+E458</f>
        <v>94466.210529488715</v>
      </c>
      <c r="J458" s="516">
        <f t="shared" si="42"/>
        <v>0</v>
      </c>
      <c r="K458" s="516"/>
      <c r="L458" s="521">
        <v>86202.751114463812</v>
      </c>
      <c r="M458" s="516">
        <f t="shared" si="43"/>
        <v>8263.4594150249031</v>
      </c>
      <c r="N458" s="521">
        <v>86202.751114463812</v>
      </c>
      <c r="O458" s="516">
        <f t="shared" si="44"/>
        <v>8263.4594150249031</v>
      </c>
      <c r="P458" s="516">
        <f t="shared" si="45"/>
        <v>0</v>
      </c>
      <c r="Q458" s="479"/>
    </row>
    <row r="459" spans="3:17">
      <c r="C459" s="512">
        <f>IF(D444="","-",+C458+1)</f>
        <v>2022</v>
      </c>
      <c r="D459" s="477">
        <f t="shared" si="46"/>
        <v>645818.88947368436</v>
      </c>
      <c r="E459" s="519">
        <f t="shared" si="47"/>
        <v>21527.296315789474</v>
      </c>
      <c r="F459" s="519">
        <f t="shared" si="40"/>
        <v>624291.59315789491</v>
      </c>
      <c r="G459" s="477">
        <f t="shared" si="41"/>
        <v>635055.24131578964</v>
      </c>
      <c r="H459" s="513">
        <f>+J445*G459+E459</f>
        <v>92074.770719203501</v>
      </c>
      <c r="I459" s="520">
        <f>+J446*G459+E459</f>
        <v>92074.770719203501</v>
      </c>
      <c r="J459" s="516">
        <f t="shared" si="42"/>
        <v>0</v>
      </c>
      <c r="K459" s="516"/>
      <c r="L459" s="521">
        <v>87432.673986372596</v>
      </c>
      <c r="M459" s="516">
        <f t="shared" si="43"/>
        <v>4642.0967328309052</v>
      </c>
      <c r="N459" s="521">
        <v>87432.673986372596</v>
      </c>
      <c r="O459" s="516">
        <f t="shared" si="44"/>
        <v>4642.0967328309052</v>
      </c>
      <c r="P459" s="516">
        <f t="shared" si="45"/>
        <v>0</v>
      </c>
      <c r="Q459" s="479"/>
    </row>
    <row r="460" spans="3:17">
      <c r="C460" s="512">
        <f>IF(D444="","-",+C459+1)</f>
        <v>2023</v>
      </c>
      <c r="D460" s="477">
        <f t="shared" si="46"/>
        <v>624291.59315789491</v>
      </c>
      <c r="E460" s="519">
        <f t="shared" si="47"/>
        <v>21527.296315789474</v>
      </c>
      <c r="F460" s="519">
        <f t="shared" si="40"/>
        <v>602764.29684210545</v>
      </c>
      <c r="G460" s="477">
        <f t="shared" si="41"/>
        <v>613527.94500000018</v>
      </c>
      <c r="H460" s="513">
        <f>+J445*G460+E460</f>
        <v>89683.330908918273</v>
      </c>
      <c r="I460" s="520">
        <f>+J446*G460+E460</f>
        <v>89683.330908918273</v>
      </c>
      <c r="J460" s="516">
        <f t="shared" si="42"/>
        <v>0</v>
      </c>
      <c r="K460" s="516"/>
      <c r="L460" s="521">
        <v>92748.466299662425</v>
      </c>
      <c r="M460" s="516">
        <f t="shared" si="43"/>
        <v>-3065.1353907441517</v>
      </c>
      <c r="N460" s="521">
        <v>92748.466299662425</v>
      </c>
      <c r="O460" s="516">
        <f t="shared" si="44"/>
        <v>-3065.1353907441517</v>
      </c>
      <c r="P460" s="516">
        <f t="shared" si="45"/>
        <v>0</v>
      </c>
      <c r="Q460" s="479"/>
    </row>
    <row r="461" spans="3:17">
      <c r="C461" s="512">
        <f>IF(D444="","-",+C460+1)</f>
        <v>2024</v>
      </c>
      <c r="D461" s="477">
        <f t="shared" si="46"/>
        <v>602764.29684210545</v>
      </c>
      <c r="E461" s="519">
        <f t="shared" si="47"/>
        <v>21527.296315789474</v>
      </c>
      <c r="F461" s="519">
        <f t="shared" si="40"/>
        <v>581237.000526316</v>
      </c>
      <c r="G461" s="477">
        <f t="shared" si="41"/>
        <v>592000.64868421073</v>
      </c>
      <c r="H461" s="513">
        <f>+J445*G461+E461</f>
        <v>87291.891098633059</v>
      </c>
      <c r="I461" s="520">
        <f>+J446*G461+E461</f>
        <v>87291.891098633059</v>
      </c>
      <c r="J461" s="516">
        <f t="shared" si="42"/>
        <v>0</v>
      </c>
      <c r="K461" s="516"/>
      <c r="L461" s="521">
        <v>93164.52509535935</v>
      </c>
      <c r="M461" s="516">
        <f t="shared" si="43"/>
        <v>-5872.6339967262902</v>
      </c>
      <c r="N461" s="521">
        <v>93164.52509535935</v>
      </c>
      <c r="O461" s="516">
        <f t="shared" si="44"/>
        <v>-5872.6339967262902</v>
      </c>
      <c r="P461" s="516">
        <f t="shared" si="45"/>
        <v>0</v>
      </c>
      <c r="Q461" s="479"/>
    </row>
    <row r="462" spans="3:17">
      <c r="C462" s="512">
        <f>IF(D444="","-",+C461+1)</f>
        <v>2025</v>
      </c>
      <c r="D462" s="477">
        <f t="shared" si="46"/>
        <v>581237.000526316</v>
      </c>
      <c r="E462" s="519">
        <f t="shared" si="47"/>
        <v>21527.296315789474</v>
      </c>
      <c r="F462" s="519">
        <f t="shared" si="40"/>
        <v>559709.70421052654</v>
      </c>
      <c r="G462" s="477">
        <f t="shared" si="41"/>
        <v>570473.35236842127</v>
      </c>
      <c r="H462" s="513">
        <f>+J445*G462+E462</f>
        <v>84900.451288347846</v>
      </c>
      <c r="I462" s="520">
        <f>+J446*G462+E462</f>
        <v>84900.451288347846</v>
      </c>
      <c r="J462" s="516">
        <f t="shared" si="42"/>
        <v>0</v>
      </c>
      <c r="K462" s="516"/>
      <c r="L462" s="521">
        <v>88894.139022285584</v>
      </c>
      <c r="M462" s="516">
        <f t="shared" si="43"/>
        <v>-3993.6877339377388</v>
      </c>
      <c r="N462" s="521">
        <v>88894.139022285584</v>
      </c>
      <c r="O462" s="516">
        <f t="shared" si="44"/>
        <v>-3993.6877339377388</v>
      </c>
      <c r="P462" s="516">
        <f t="shared" si="45"/>
        <v>0</v>
      </c>
      <c r="Q462" s="479"/>
    </row>
    <row r="463" spans="3:17">
      <c r="C463" s="512">
        <f>IF(D444="","-",+C462+1)</f>
        <v>2026</v>
      </c>
      <c r="D463" s="477">
        <f t="shared" si="46"/>
        <v>559709.70421052654</v>
      </c>
      <c r="E463" s="519">
        <f t="shared" si="47"/>
        <v>21527.296315789474</v>
      </c>
      <c r="F463" s="519">
        <f t="shared" si="40"/>
        <v>538182.40789473709</v>
      </c>
      <c r="G463" s="477">
        <f t="shared" si="41"/>
        <v>548946.05605263181</v>
      </c>
      <c r="H463" s="513">
        <f>+J445*G463+E463</f>
        <v>82509.011478062632</v>
      </c>
      <c r="I463" s="520">
        <f>+J446*G463+E463</f>
        <v>82509.011478062632</v>
      </c>
      <c r="J463" s="516">
        <f t="shared" si="42"/>
        <v>0</v>
      </c>
      <c r="K463" s="516"/>
      <c r="L463" s="521"/>
      <c r="M463" s="516">
        <f t="shared" si="43"/>
        <v>0</v>
      </c>
      <c r="N463" s="521"/>
      <c r="O463" s="516">
        <f t="shared" si="44"/>
        <v>0</v>
      </c>
      <c r="P463" s="516">
        <f t="shared" si="45"/>
        <v>0</v>
      </c>
      <c r="Q463" s="479"/>
    </row>
    <row r="464" spans="3:17">
      <c r="C464" s="512">
        <f>IF(D444="","-",+C463+1)</f>
        <v>2027</v>
      </c>
      <c r="D464" s="477">
        <f t="shared" si="46"/>
        <v>538182.40789473709</v>
      </c>
      <c r="E464" s="519">
        <f t="shared" si="47"/>
        <v>21527.296315789474</v>
      </c>
      <c r="F464" s="519">
        <f t="shared" si="40"/>
        <v>516655.11157894763</v>
      </c>
      <c r="G464" s="477">
        <f t="shared" si="41"/>
        <v>527418.75973684236</v>
      </c>
      <c r="H464" s="513">
        <f>+J445*G464+E464</f>
        <v>80117.571667777403</v>
      </c>
      <c r="I464" s="520">
        <f>+J446*G464+E464</f>
        <v>80117.571667777403</v>
      </c>
      <c r="J464" s="516">
        <f t="shared" si="42"/>
        <v>0</v>
      </c>
      <c r="K464" s="516"/>
      <c r="L464" s="521"/>
      <c r="M464" s="516">
        <f t="shared" si="43"/>
        <v>0</v>
      </c>
      <c r="N464" s="521"/>
      <c r="O464" s="516">
        <f t="shared" si="44"/>
        <v>0</v>
      </c>
      <c r="P464" s="516">
        <f t="shared" si="45"/>
        <v>0</v>
      </c>
      <c r="Q464" s="479"/>
    </row>
    <row r="465" spans="3:17">
      <c r="C465" s="512">
        <f>IF(D444="","-",+C464+1)</f>
        <v>2028</v>
      </c>
      <c r="D465" s="477">
        <f t="shared" si="46"/>
        <v>516655.11157894763</v>
      </c>
      <c r="E465" s="519">
        <f t="shared" si="47"/>
        <v>21527.296315789474</v>
      </c>
      <c r="F465" s="519">
        <f t="shared" si="40"/>
        <v>495127.81526315818</v>
      </c>
      <c r="G465" s="477">
        <f t="shared" si="41"/>
        <v>505891.4634210529</v>
      </c>
      <c r="H465" s="513">
        <f>+J445*G465+E465</f>
        <v>77726.13185749219</v>
      </c>
      <c r="I465" s="520">
        <f>+J446*G465+E465</f>
        <v>77726.13185749219</v>
      </c>
      <c r="J465" s="516">
        <f t="shared" si="42"/>
        <v>0</v>
      </c>
      <c r="K465" s="516"/>
      <c r="L465" s="521"/>
      <c r="M465" s="516">
        <f t="shared" si="43"/>
        <v>0</v>
      </c>
      <c r="N465" s="521"/>
      <c r="O465" s="516">
        <f t="shared" si="44"/>
        <v>0</v>
      </c>
      <c r="P465" s="516">
        <f t="shared" si="45"/>
        <v>0</v>
      </c>
      <c r="Q465" s="479"/>
    </row>
    <row r="466" spans="3:17">
      <c r="C466" s="512">
        <f>IF(D444="","-",+C465+1)</f>
        <v>2029</v>
      </c>
      <c r="D466" s="477">
        <f t="shared" si="46"/>
        <v>495127.81526315818</v>
      </c>
      <c r="E466" s="519">
        <f t="shared" si="47"/>
        <v>21527.296315789474</v>
      </c>
      <c r="F466" s="519">
        <f t="shared" si="40"/>
        <v>473600.51894736872</v>
      </c>
      <c r="G466" s="477">
        <f t="shared" si="41"/>
        <v>484364.16710526345</v>
      </c>
      <c r="H466" s="513">
        <f>+J445*G466+E466</f>
        <v>75334.692047206976</v>
      </c>
      <c r="I466" s="520">
        <f>+J446*G466+E466</f>
        <v>75334.692047206976</v>
      </c>
      <c r="J466" s="516">
        <f t="shared" si="42"/>
        <v>0</v>
      </c>
      <c r="K466" s="516"/>
      <c r="L466" s="521"/>
      <c r="M466" s="516">
        <f t="shared" si="43"/>
        <v>0</v>
      </c>
      <c r="N466" s="521"/>
      <c r="O466" s="516">
        <f t="shared" si="44"/>
        <v>0</v>
      </c>
      <c r="P466" s="516">
        <f t="shared" si="45"/>
        <v>0</v>
      </c>
      <c r="Q466" s="479"/>
    </row>
    <row r="467" spans="3:17">
      <c r="C467" s="512">
        <f>IF(D444="","-",+C466+1)</f>
        <v>2030</v>
      </c>
      <c r="D467" s="477">
        <f t="shared" si="46"/>
        <v>473600.51894736872</v>
      </c>
      <c r="E467" s="519">
        <f t="shared" si="47"/>
        <v>21527.296315789474</v>
      </c>
      <c r="F467" s="519">
        <f t="shared" si="40"/>
        <v>452073.22263157926</v>
      </c>
      <c r="G467" s="477">
        <f t="shared" si="41"/>
        <v>462836.87078947399</v>
      </c>
      <c r="H467" s="513">
        <f>+J445*G467+E467</f>
        <v>72943.252236921748</v>
      </c>
      <c r="I467" s="520">
        <f>+J446*G467+E467</f>
        <v>72943.252236921748</v>
      </c>
      <c r="J467" s="516">
        <f t="shared" si="42"/>
        <v>0</v>
      </c>
      <c r="K467" s="516"/>
      <c r="L467" s="521"/>
      <c r="M467" s="516">
        <f t="shared" si="43"/>
        <v>0</v>
      </c>
      <c r="N467" s="521"/>
      <c r="O467" s="516">
        <f t="shared" si="44"/>
        <v>0</v>
      </c>
      <c r="P467" s="516">
        <f t="shared" si="45"/>
        <v>0</v>
      </c>
      <c r="Q467" s="479"/>
    </row>
    <row r="468" spans="3:17">
      <c r="C468" s="512">
        <f>IF(D444="","-",+C467+1)</f>
        <v>2031</v>
      </c>
      <c r="D468" s="477">
        <f t="shared" si="46"/>
        <v>452073.22263157926</v>
      </c>
      <c r="E468" s="519">
        <f t="shared" si="47"/>
        <v>21527.296315789474</v>
      </c>
      <c r="F468" s="519">
        <f t="shared" si="40"/>
        <v>430545.92631578981</v>
      </c>
      <c r="G468" s="477">
        <f t="shared" si="41"/>
        <v>441309.57447368454</v>
      </c>
      <c r="H468" s="513">
        <f>+J445*G468+E468</f>
        <v>70551.812426636534</v>
      </c>
      <c r="I468" s="520">
        <f>+J446*G468+E468</f>
        <v>70551.812426636534</v>
      </c>
      <c r="J468" s="516">
        <f t="shared" si="42"/>
        <v>0</v>
      </c>
      <c r="K468" s="516"/>
      <c r="L468" s="521"/>
      <c r="M468" s="516">
        <f t="shared" si="43"/>
        <v>0</v>
      </c>
      <c r="N468" s="521"/>
      <c r="O468" s="516">
        <f t="shared" si="44"/>
        <v>0</v>
      </c>
      <c r="P468" s="516">
        <f t="shared" si="45"/>
        <v>0</v>
      </c>
      <c r="Q468" s="479"/>
    </row>
    <row r="469" spans="3:17">
      <c r="C469" s="512">
        <f>IF(D444="","-",+C468+1)</f>
        <v>2032</v>
      </c>
      <c r="D469" s="477">
        <f t="shared" si="46"/>
        <v>430545.92631578981</v>
      </c>
      <c r="E469" s="519">
        <f t="shared" si="47"/>
        <v>21527.296315789474</v>
      </c>
      <c r="F469" s="519">
        <f t="shared" si="40"/>
        <v>409018.63000000035</v>
      </c>
      <c r="G469" s="477">
        <f t="shared" si="41"/>
        <v>419782.27815789508</v>
      </c>
      <c r="H469" s="513">
        <f>+J445*G469+E469</f>
        <v>68160.37261635132</v>
      </c>
      <c r="I469" s="520">
        <f>+J446*G469+E469</f>
        <v>68160.37261635132</v>
      </c>
      <c r="J469" s="516">
        <f t="shared" si="42"/>
        <v>0</v>
      </c>
      <c r="K469" s="516"/>
      <c r="L469" s="521"/>
      <c r="M469" s="516">
        <f t="shared" si="43"/>
        <v>0</v>
      </c>
      <c r="N469" s="521"/>
      <c r="O469" s="516">
        <f t="shared" si="44"/>
        <v>0</v>
      </c>
      <c r="P469" s="516">
        <f t="shared" si="45"/>
        <v>0</v>
      </c>
      <c r="Q469" s="479"/>
    </row>
    <row r="470" spans="3:17">
      <c r="C470" s="512">
        <f>IF(D444="","-",+C469+1)</f>
        <v>2033</v>
      </c>
      <c r="D470" s="477">
        <f t="shared" si="46"/>
        <v>409018.63000000035</v>
      </c>
      <c r="E470" s="519">
        <f t="shared" si="47"/>
        <v>21527.296315789474</v>
      </c>
      <c r="F470" s="519">
        <f t="shared" si="40"/>
        <v>387491.3336842109</v>
      </c>
      <c r="G470" s="477">
        <f t="shared" si="41"/>
        <v>398254.98184210563</v>
      </c>
      <c r="H470" s="513">
        <f>+J445*G470+E470</f>
        <v>65768.932806066092</v>
      </c>
      <c r="I470" s="520">
        <f>+J446*G470+E470</f>
        <v>65768.932806066092</v>
      </c>
      <c r="J470" s="516">
        <f t="shared" si="42"/>
        <v>0</v>
      </c>
      <c r="K470" s="516"/>
      <c r="L470" s="521"/>
      <c r="M470" s="516">
        <f t="shared" si="43"/>
        <v>0</v>
      </c>
      <c r="N470" s="521"/>
      <c r="O470" s="516">
        <f t="shared" si="44"/>
        <v>0</v>
      </c>
      <c r="P470" s="516">
        <f t="shared" si="45"/>
        <v>0</v>
      </c>
      <c r="Q470" s="479"/>
    </row>
    <row r="471" spans="3:17">
      <c r="C471" s="512">
        <f>IF(D444="","-",+C470+1)</f>
        <v>2034</v>
      </c>
      <c r="D471" s="477">
        <f t="shared" si="46"/>
        <v>387491.3336842109</v>
      </c>
      <c r="E471" s="519">
        <f t="shared" si="47"/>
        <v>21527.296315789474</v>
      </c>
      <c r="F471" s="519">
        <f t="shared" si="40"/>
        <v>365964.03736842144</v>
      </c>
      <c r="G471" s="477">
        <f t="shared" si="41"/>
        <v>376727.68552631617</v>
      </c>
      <c r="H471" s="513">
        <f>+J445*G471+E471</f>
        <v>63377.492995780878</v>
      </c>
      <c r="I471" s="520">
        <f>+J446*G471+E471</f>
        <v>63377.492995780878</v>
      </c>
      <c r="J471" s="516">
        <f t="shared" si="42"/>
        <v>0</v>
      </c>
      <c r="K471" s="516"/>
      <c r="L471" s="521"/>
      <c r="M471" s="516">
        <f t="shared" si="43"/>
        <v>0</v>
      </c>
      <c r="N471" s="521"/>
      <c r="O471" s="516">
        <f t="shared" si="44"/>
        <v>0</v>
      </c>
      <c r="P471" s="516">
        <f t="shared" si="45"/>
        <v>0</v>
      </c>
      <c r="Q471" s="479"/>
    </row>
    <row r="472" spans="3:17">
      <c r="C472" s="512">
        <f>IF(D444="","-",+C471+1)</f>
        <v>2035</v>
      </c>
      <c r="D472" s="477">
        <f t="shared" si="46"/>
        <v>365964.03736842144</v>
      </c>
      <c r="E472" s="519">
        <f t="shared" si="47"/>
        <v>21527.296315789474</v>
      </c>
      <c r="F472" s="519">
        <f t="shared" si="40"/>
        <v>344436.74105263199</v>
      </c>
      <c r="G472" s="477">
        <f t="shared" si="41"/>
        <v>355200.38921052672</v>
      </c>
      <c r="H472" s="513">
        <f>+J445*G472+E472</f>
        <v>60986.053185495664</v>
      </c>
      <c r="I472" s="520">
        <f>+J446*G472+E472</f>
        <v>60986.053185495664</v>
      </c>
      <c r="J472" s="516">
        <f t="shared" si="42"/>
        <v>0</v>
      </c>
      <c r="K472" s="516"/>
      <c r="L472" s="521"/>
      <c r="M472" s="516">
        <f t="shared" si="43"/>
        <v>0</v>
      </c>
      <c r="N472" s="521"/>
      <c r="O472" s="516">
        <f t="shared" si="44"/>
        <v>0</v>
      </c>
      <c r="P472" s="516">
        <f t="shared" si="45"/>
        <v>0</v>
      </c>
      <c r="Q472" s="479"/>
    </row>
    <row r="473" spans="3:17">
      <c r="C473" s="512">
        <f>IF(D444="","-",+C472+1)</f>
        <v>2036</v>
      </c>
      <c r="D473" s="477">
        <f t="shared" si="46"/>
        <v>344436.74105263199</v>
      </c>
      <c r="E473" s="519">
        <f t="shared" si="47"/>
        <v>21527.296315789474</v>
      </c>
      <c r="F473" s="519">
        <f t="shared" si="40"/>
        <v>322909.44473684253</v>
      </c>
      <c r="G473" s="477">
        <f t="shared" si="41"/>
        <v>333673.09289473726</v>
      </c>
      <c r="H473" s="513">
        <f>+J445*G473+E473</f>
        <v>58594.613375210436</v>
      </c>
      <c r="I473" s="520">
        <f>+J446*G473+E473</f>
        <v>58594.613375210436</v>
      </c>
      <c r="J473" s="516">
        <f t="shared" si="42"/>
        <v>0</v>
      </c>
      <c r="K473" s="516"/>
      <c r="L473" s="521"/>
      <c r="M473" s="516">
        <f t="shared" si="43"/>
        <v>0</v>
      </c>
      <c r="N473" s="521"/>
      <c r="O473" s="516">
        <f t="shared" si="44"/>
        <v>0</v>
      </c>
      <c r="P473" s="516">
        <f t="shared" si="45"/>
        <v>0</v>
      </c>
      <c r="Q473" s="479"/>
    </row>
    <row r="474" spans="3:17">
      <c r="C474" s="512">
        <f>IF(D444="","-",+C473+1)</f>
        <v>2037</v>
      </c>
      <c r="D474" s="477">
        <f t="shared" si="46"/>
        <v>322909.44473684253</v>
      </c>
      <c r="E474" s="519">
        <f t="shared" si="47"/>
        <v>21527.296315789474</v>
      </c>
      <c r="F474" s="519">
        <f t="shared" si="40"/>
        <v>301382.14842105308</v>
      </c>
      <c r="G474" s="477">
        <f t="shared" si="41"/>
        <v>312145.7965789478</v>
      </c>
      <c r="H474" s="513">
        <f>+J445*G474+E474</f>
        <v>56203.173564925222</v>
      </c>
      <c r="I474" s="520">
        <f>+J446*G474+E474</f>
        <v>56203.173564925222</v>
      </c>
      <c r="J474" s="516">
        <f t="shared" si="42"/>
        <v>0</v>
      </c>
      <c r="K474" s="516"/>
      <c r="L474" s="521"/>
      <c r="M474" s="516">
        <f t="shared" si="43"/>
        <v>0</v>
      </c>
      <c r="N474" s="521"/>
      <c r="O474" s="516">
        <f t="shared" si="44"/>
        <v>0</v>
      </c>
      <c r="P474" s="516">
        <f t="shared" si="45"/>
        <v>0</v>
      </c>
      <c r="Q474" s="479"/>
    </row>
    <row r="475" spans="3:17">
      <c r="C475" s="512">
        <f>IF(D444="","-",+C474+1)</f>
        <v>2038</v>
      </c>
      <c r="D475" s="477">
        <f t="shared" si="46"/>
        <v>301382.14842105308</v>
      </c>
      <c r="E475" s="519">
        <f t="shared" si="47"/>
        <v>21527.296315789474</v>
      </c>
      <c r="F475" s="519">
        <f t="shared" si="40"/>
        <v>279854.85210526362</v>
      </c>
      <c r="G475" s="477">
        <f t="shared" si="41"/>
        <v>290618.50026315835</v>
      </c>
      <c r="H475" s="513">
        <f>+J445*G475+E475</f>
        <v>53811.733754640001</v>
      </c>
      <c r="I475" s="520">
        <f>+J446*G475+E475</f>
        <v>53811.733754640001</v>
      </c>
      <c r="J475" s="516">
        <f t="shared" si="42"/>
        <v>0</v>
      </c>
      <c r="K475" s="516"/>
      <c r="L475" s="521"/>
      <c r="M475" s="516">
        <f t="shared" si="43"/>
        <v>0</v>
      </c>
      <c r="N475" s="521"/>
      <c r="O475" s="516">
        <f t="shared" si="44"/>
        <v>0</v>
      </c>
      <c r="P475" s="516">
        <f t="shared" si="45"/>
        <v>0</v>
      </c>
      <c r="Q475" s="479"/>
    </row>
    <row r="476" spans="3:17">
      <c r="C476" s="512">
        <f>IF(D444="","-",+C475+1)</f>
        <v>2039</v>
      </c>
      <c r="D476" s="477">
        <f t="shared" si="46"/>
        <v>279854.85210526362</v>
      </c>
      <c r="E476" s="519">
        <f t="shared" si="47"/>
        <v>21527.296315789474</v>
      </c>
      <c r="F476" s="519">
        <f t="shared" si="40"/>
        <v>258327.55578947414</v>
      </c>
      <c r="G476" s="477">
        <f t="shared" si="41"/>
        <v>269091.20394736889</v>
      </c>
      <c r="H476" s="513">
        <f>+J445*G476+E476</f>
        <v>51420.29394435478</v>
      </c>
      <c r="I476" s="520">
        <f>+J446*G476+E476</f>
        <v>51420.29394435478</v>
      </c>
      <c r="J476" s="516">
        <f t="shared" si="42"/>
        <v>0</v>
      </c>
      <c r="K476" s="516"/>
      <c r="L476" s="521"/>
      <c r="M476" s="516">
        <f t="shared" si="43"/>
        <v>0</v>
      </c>
      <c r="N476" s="521"/>
      <c r="O476" s="516">
        <f t="shared" si="44"/>
        <v>0</v>
      </c>
      <c r="P476" s="516">
        <f t="shared" si="45"/>
        <v>0</v>
      </c>
      <c r="Q476" s="479"/>
    </row>
    <row r="477" spans="3:17">
      <c r="C477" s="512">
        <f>IF(D444="","-",+C476+1)</f>
        <v>2040</v>
      </c>
      <c r="D477" s="477">
        <f t="shared" si="46"/>
        <v>258327.55578947414</v>
      </c>
      <c r="E477" s="519">
        <f t="shared" si="47"/>
        <v>21527.296315789474</v>
      </c>
      <c r="F477" s="519">
        <f t="shared" si="40"/>
        <v>236800.25947368465</v>
      </c>
      <c r="G477" s="477">
        <f t="shared" si="41"/>
        <v>247563.90763157938</v>
      </c>
      <c r="H477" s="513">
        <f>+J445*G477+E477</f>
        <v>49028.854134069559</v>
      </c>
      <c r="I477" s="520">
        <f>+J446*G477+E477</f>
        <v>49028.854134069559</v>
      </c>
      <c r="J477" s="516">
        <f t="shared" si="42"/>
        <v>0</v>
      </c>
      <c r="K477" s="516"/>
      <c r="L477" s="521"/>
      <c r="M477" s="516">
        <f t="shared" si="43"/>
        <v>0</v>
      </c>
      <c r="N477" s="521"/>
      <c r="O477" s="516">
        <f t="shared" si="44"/>
        <v>0</v>
      </c>
      <c r="P477" s="516">
        <f t="shared" si="45"/>
        <v>0</v>
      </c>
      <c r="Q477" s="479"/>
    </row>
    <row r="478" spans="3:17">
      <c r="C478" s="512">
        <f>IF(D444="","-",+C477+1)</f>
        <v>2041</v>
      </c>
      <c r="D478" s="477">
        <f t="shared" si="46"/>
        <v>236800.25947368465</v>
      </c>
      <c r="E478" s="519">
        <f t="shared" si="47"/>
        <v>21527.296315789474</v>
      </c>
      <c r="F478" s="519">
        <f t="shared" si="40"/>
        <v>215272.96315789517</v>
      </c>
      <c r="G478" s="477">
        <f t="shared" si="41"/>
        <v>226036.61131578992</v>
      </c>
      <c r="H478" s="513">
        <f>+J445*G478+E478</f>
        <v>46637.414323784338</v>
      </c>
      <c r="I478" s="520">
        <f>+J446*G478+E478</f>
        <v>46637.414323784338</v>
      </c>
      <c r="J478" s="516">
        <f t="shared" si="42"/>
        <v>0</v>
      </c>
      <c r="K478" s="516"/>
      <c r="L478" s="521"/>
      <c r="M478" s="516">
        <f t="shared" si="43"/>
        <v>0</v>
      </c>
      <c r="N478" s="521"/>
      <c r="O478" s="516">
        <f t="shared" si="44"/>
        <v>0</v>
      </c>
      <c r="P478" s="516">
        <f t="shared" si="45"/>
        <v>0</v>
      </c>
      <c r="Q478" s="479"/>
    </row>
    <row r="479" spans="3:17">
      <c r="C479" s="512">
        <f>IF(D444="","-",+C478+1)</f>
        <v>2042</v>
      </c>
      <c r="D479" s="477">
        <f t="shared" si="46"/>
        <v>215272.96315789517</v>
      </c>
      <c r="E479" s="519">
        <f t="shared" si="47"/>
        <v>21527.296315789474</v>
      </c>
      <c r="F479" s="519">
        <f t="shared" si="40"/>
        <v>193745.66684210568</v>
      </c>
      <c r="G479" s="477">
        <f t="shared" si="41"/>
        <v>204509.31500000041</v>
      </c>
      <c r="H479" s="513">
        <f>+J445*G479+E479</f>
        <v>44245.97451349911</v>
      </c>
      <c r="I479" s="520">
        <f>+J446*G479+E479</f>
        <v>44245.97451349911</v>
      </c>
      <c r="J479" s="516">
        <f t="shared" si="42"/>
        <v>0</v>
      </c>
      <c r="K479" s="516"/>
      <c r="L479" s="521"/>
      <c r="M479" s="516">
        <f t="shared" si="43"/>
        <v>0</v>
      </c>
      <c r="N479" s="521"/>
      <c r="O479" s="516">
        <f t="shared" si="44"/>
        <v>0</v>
      </c>
      <c r="P479" s="516">
        <f t="shared" si="45"/>
        <v>0</v>
      </c>
      <c r="Q479" s="479"/>
    </row>
    <row r="480" spans="3:17">
      <c r="C480" s="512">
        <f>IF(D444="","-",+C479+1)</f>
        <v>2043</v>
      </c>
      <c r="D480" s="477">
        <f t="shared" si="46"/>
        <v>193745.66684210568</v>
      </c>
      <c r="E480" s="519">
        <f t="shared" si="47"/>
        <v>21527.296315789474</v>
      </c>
      <c r="F480" s="519">
        <f t="shared" si="40"/>
        <v>172218.3705263162</v>
      </c>
      <c r="G480" s="477">
        <f t="shared" si="41"/>
        <v>182982.01868421095</v>
      </c>
      <c r="H480" s="513">
        <f>+J445*G480+E480</f>
        <v>41854.534703213896</v>
      </c>
      <c r="I480" s="520">
        <f>+J446*G480+E480</f>
        <v>41854.534703213896</v>
      </c>
      <c r="J480" s="516">
        <f t="shared" si="42"/>
        <v>0</v>
      </c>
      <c r="K480" s="516"/>
      <c r="L480" s="521"/>
      <c r="M480" s="516">
        <f t="shared" si="43"/>
        <v>0</v>
      </c>
      <c r="N480" s="521"/>
      <c r="O480" s="516">
        <f t="shared" si="44"/>
        <v>0</v>
      </c>
      <c r="P480" s="516">
        <f t="shared" si="45"/>
        <v>0</v>
      </c>
      <c r="Q480" s="479"/>
    </row>
    <row r="481" spans="3:17">
      <c r="C481" s="512">
        <f>IF(D444="","-",+C480+1)</f>
        <v>2044</v>
      </c>
      <c r="D481" s="477">
        <f t="shared" si="46"/>
        <v>172218.3705263162</v>
      </c>
      <c r="E481" s="519">
        <f t="shared" si="47"/>
        <v>21527.296315789474</v>
      </c>
      <c r="F481" s="519">
        <f t="shared" si="40"/>
        <v>150691.07421052671</v>
      </c>
      <c r="G481" s="477">
        <f t="shared" si="41"/>
        <v>161454.72236842144</v>
      </c>
      <c r="H481" s="513">
        <f>+J445*G481+E481</f>
        <v>39463.094892928668</v>
      </c>
      <c r="I481" s="520">
        <f>+J446*G481+E481</f>
        <v>39463.094892928668</v>
      </c>
      <c r="J481" s="516">
        <f t="shared" si="42"/>
        <v>0</v>
      </c>
      <c r="K481" s="516"/>
      <c r="L481" s="521"/>
      <c r="M481" s="516">
        <f t="shared" si="43"/>
        <v>0</v>
      </c>
      <c r="N481" s="521"/>
      <c r="O481" s="516">
        <f t="shared" si="44"/>
        <v>0</v>
      </c>
      <c r="P481" s="516">
        <f t="shared" si="45"/>
        <v>0</v>
      </c>
      <c r="Q481" s="479"/>
    </row>
    <row r="482" spans="3:17">
      <c r="C482" s="512">
        <f>IF(D444="","-",+C481+1)</f>
        <v>2045</v>
      </c>
      <c r="D482" s="477">
        <f t="shared" si="46"/>
        <v>150691.07421052671</v>
      </c>
      <c r="E482" s="519">
        <f t="shared" si="47"/>
        <v>21527.296315789474</v>
      </c>
      <c r="F482" s="519">
        <f t="shared" si="40"/>
        <v>129163.77789473724</v>
      </c>
      <c r="G482" s="477">
        <f t="shared" si="41"/>
        <v>139927.42605263198</v>
      </c>
      <c r="H482" s="513">
        <f>+J445*G482+E482</f>
        <v>37071.655082643454</v>
      </c>
      <c r="I482" s="520">
        <f>+J446*G482+E482</f>
        <v>37071.655082643454</v>
      </c>
      <c r="J482" s="516">
        <f t="shared" si="42"/>
        <v>0</v>
      </c>
      <c r="K482" s="516"/>
      <c r="L482" s="521"/>
      <c r="M482" s="516">
        <f t="shared" si="43"/>
        <v>0</v>
      </c>
      <c r="N482" s="521"/>
      <c r="O482" s="516">
        <f t="shared" si="44"/>
        <v>0</v>
      </c>
      <c r="P482" s="516">
        <f t="shared" si="45"/>
        <v>0</v>
      </c>
      <c r="Q482" s="479"/>
    </row>
    <row r="483" spans="3:17">
      <c r="C483" s="512">
        <f>IF(D444="","-",+C482+1)</f>
        <v>2046</v>
      </c>
      <c r="D483" s="477">
        <f t="shared" si="46"/>
        <v>129163.77789473724</v>
      </c>
      <c r="E483" s="519">
        <f t="shared" si="47"/>
        <v>21527.296315789474</v>
      </c>
      <c r="F483" s="519">
        <f t="shared" si="40"/>
        <v>107636.48157894777</v>
      </c>
      <c r="G483" s="477">
        <f t="shared" si="41"/>
        <v>118400.1297368425</v>
      </c>
      <c r="H483" s="513">
        <f>+J445*G483+E483</f>
        <v>34680.215272358233</v>
      </c>
      <c r="I483" s="520">
        <f>+J446*G483+E483</f>
        <v>34680.215272358233</v>
      </c>
      <c r="J483" s="516">
        <f t="shared" si="42"/>
        <v>0</v>
      </c>
      <c r="K483" s="516"/>
      <c r="L483" s="521"/>
      <c r="M483" s="516">
        <f t="shared" si="43"/>
        <v>0</v>
      </c>
      <c r="N483" s="521"/>
      <c r="O483" s="516">
        <f t="shared" si="44"/>
        <v>0</v>
      </c>
      <c r="P483" s="516">
        <f t="shared" si="45"/>
        <v>0</v>
      </c>
      <c r="Q483" s="479"/>
    </row>
    <row r="484" spans="3:17">
      <c r="C484" s="512">
        <f>IF(D444="","-",+C483+1)</f>
        <v>2047</v>
      </c>
      <c r="D484" s="477">
        <f t="shared" si="46"/>
        <v>107636.48157894777</v>
      </c>
      <c r="E484" s="519">
        <f t="shared" si="47"/>
        <v>21527.296315789474</v>
      </c>
      <c r="F484" s="519">
        <f t="shared" si="40"/>
        <v>86109.185263158302</v>
      </c>
      <c r="G484" s="477">
        <f t="shared" si="41"/>
        <v>96872.833421053045</v>
      </c>
      <c r="H484" s="513">
        <f>+J445*G484+E484</f>
        <v>32288.775462073012</v>
      </c>
      <c r="I484" s="520">
        <f>+J446*G484+E484</f>
        <v>32288.775462073012</v>
      </c>
      <c r="J484" s="516">
        <f t="shared" si="42"/>
        <v>0</v>
      </c>
      <c r="K484" s="516"/>
      <c r="L484" s="521"/>
      <c r="M484" s="516">
        <f t="shared" si="43"/>
        <v>0</v>
      </c>
      <c r="N484" s="521"/>
      <c r="O484" s="516">
        <f t="shared" si="44"/>
        <v>0</v>
      </c>
      <c r="P484" s="516">
        <f t="shared" si="45"/>
        <v>0</v>
      </c>
      <c r="Q484" s="479"/>
    </row>
    <row r="485" spans="3:17">
      <c r="C485" s="512">
        <f>IF(D444="","-",+C484+1)</f>
        <v>2048</v>
      </c>
      <c r="D485" s="477">
        <f t="shared" si="46"/>
        <v>86109.185263158302</v>
      </c>
      <c r="E485" s="519">
        <f t="shared" si="47"/>
        <v>21527.296315789474</v>
      </c>
      <c r="F485" s="519">
        <f t="shared" si="40"/>
        <v>64581.888947368832</v>
      </c>
      <c r="G485" s="477">
        <f t="shared" si="41"/>
        <v>75345.53710526356</v>
      </c>
      <c r="H485" s="513">
        <f>+J445*G485+E485</f>
        <v>29897.335651787791</v>
      </c>
      <c r="I485" s="520">
        <f>+J446*G485+E485</f>
        <v>29897.335651787791</v>
      </c>
      <c r="J485" s="516">
        <f t="shared" si="42"/>
        <v>0</v>
      </c>
      <c r="K485" s="516"/>
      <c r="L485" s="521"/>
      <c r="M485" s="516">
        <f t="shared" si="43"/>
        <v>0</v>
      </c>
      <c r="N485" s="521"/>
      <c r="O485" s="516">
        <f t="shared" si="44"/>
        <v>0</v>
      </c>
      <c r="P485" s="516">
        <f t="shared" si="45"/>
        <v>0</v>
      </c>
      <c r="Q485" s="479"/>
    </row>
    <row r="486" spans="3:17">
      <c r="C486" s="512">
        <f>IF(D444="","-",+C485+1)</f>
        <v>2049</v>
      </c>
      <c r="D486" s="477">
        <f t="shared" si="46"/>
        <v>64581.888947368832</v>
      </c>
      <c r="E486" s="519">
        <f t="shared" si="47"/>
        <v>21527.296315789474</v>
      </c>
      <c r="F486" s="519">
        <f t="shared" si="40"/>
        <v>43054.592631579362</v>
      </c>
      <c r="G486" s="477">
        <f t="shared" si="41"/>
        <v>53818.240789474097</v>
      </c>
      <c r="H486" s="513">
        <f>+J445*G486+E486</f>
        <v>27505.89584150257</v>
      </c>
      <c r="I486" s="520">
        <f>+J446*G486+E486</f>
        <v>27505.89584150257</v>
      </c>
      <c r="J486" s="516">
        <f t="shared" si="42"/>
        <v>0</v>
      </c>
      <c r="K486" s="516"/>
      <c r="L486" s="521"/>
      <c r="M486" s="516">
        <f t="shared" si="43"/>
        <v>0</v>
      </c>
      <c r="N486" s="521"/>
      <c r="O486" s="516">
        <f t="shared" si="44"/>
        <v>0</v>
      </c>
      <c r="P486" s="516">
        <f t="shared" si="45"/>
        <v>0</v>
      </c>
      <c r="Q486" s="479"/>
    </row>
    <row r="487" spans="3:17">
      <c r="C487" s="512">
        <f>IF(D444="","-",+C486+1)</f>
        <v>2050</v>
      </c>
      <c r="D487" s="477">
        <f t="shared" si="46"/>
        <v>43054.592631579362</v>
      </c>
      <c r="E487" s="519">
        <f t="shared" si="47"/>
        <v>21527.296315789474</v>
      </c>
      <c r="F487" s="519">
        <f t="shared" si="40"/>
        <v>21527.296315789888</v>
      </c>
      <c r="G487" s="477">
        <f t="shared" si="41"/>
        <v>32290.944473684627</v>
      </c>
      <c r="H487" s="513">
        <f>+J445*G487+E487</f>
        <v>25114.456031217349</v>
      </c>
      <c r="I487" s="520">
        <f>+J446*G487+E487</f>
        <v>25114.456031217349</v>
      </c>
      <c r="J487" s="516">
        <f t="shared" si="42"/>
        <v>0</v>
      </c>
      <c r="K487" s="516"/>
      <c r="L487" s="521"/>
      <c r="M487" s="516">
        <f t="shared" si="43"/>
        <v>0</v>
      </c>
      <c r="N487" s="521"/>
      <c r="O487" s="516">
        <f t="shared" si="44"/>
        <v>0</v>
      </c>
      <c r="P487" s="516">
        <f t="shared" si="45"/>
        <v>0</v>
      </c>
      <c r="Q487" s="479"/>
    </row>
    <row r="488" spans="3:17">
      <c r="C488" s="512">
        <f>IF(D444="","-",+C487+1)</f>
        <v>2051</v>
      </c>
      <c r="D488" s="477">
        <f t="shared" si="46"/>
        <v>21527.296315789888</v>
      </c>
      <c r="E488" s="519">
        <f t="shared" si="47"/>
        <v>21527.296315789474</v>
      </c>
      <c r="F488" s="519">
        <f t="shared" si="40"/>
        <v>4.1472958400845528E-10</v>
      </c>
      <c r="G488" s="477">
        <f t="shared" si="41"/>
        <v>10763.648157895152</v>
      </c>
      <c r="H488" s="513">
        <f>+J445*G488+E488</f>
        <v>22723.016220932132</v>
      </c>
      <c r="I488" s="520">
        <f>+J446*G488+E488</f>
        <v>22723.016220932132</v>
      </c>
      <c r="J488" s="516">
        <f t="shared" si="42"/>
        <v>0</v>
      </c>
      <c r="K488" s="516"/>
      <c r="L488" s="521"/>
      <c r="M488" s="516">
        <f t="shared" si="43"/>
        <v>0</v>
      </c>
      <c r="N488" s="521"/>
      <c r="O488" s="516">
        <f t="shared" si="44"/>
        <v>0</v>
      </c>
      <c r="P488" s="516">
        <f t="shared" si="45"/>
        <v>0</v>
      </c>
      <c r="Q488" s="479"/>
    </row>
    <row r="489" spans="3:17">
      <c r="C489" s="512">
        <f>IF(D444="","-",+C488+1)</f>
        <v>2052</v>
      </c>
      <c r="D489" s="477">
        <f t="shared" si="46"/>
        <v>4.1472958400845528E-10</v>
      </c>
      <c r="E489" s="519">
        <f t="shared" si="47"/>
        <v>4.1472958400845528E-10</v>
      </c>
      <c r="F489" s="519">
        <f t="shared" si="40"/>
        <v>0</v>
      </c>
      <c r="G489" s="477">
        <f t="shared" si="41"/>
        <v>2.0736479200422764E-10</v>
      </c>
      <c r="H489" s="513">
        <f>+J445*G489+E489</f>
        <v>4.3776547349387568E-10</v>
      </c>
      <c r="I489" s="520">
        <f>+J446*G489+E489</f>
        <v>4.3776547349387568E-10</v>
      </c>
      <c r="J489" s="516">
        <f t="shared" si="42"/>
        <v>0</v>
      </c>
      <c r="K489" s="516"/>
      <c r="L489" s="521"/>
      <c r="M489" s="516">
        <f t="shared" si="43"/>
        <v>0</v>
      </c>
      <c r="N489" s="521"/>
      <c r="O489" s="516">
        <f t="shared" si="44"/>
        <v>0</v>
      </c>
      <c r="P489" s="516">
        <f t="shared" si="45"/>
        <v>0</v>
      </c>
      <c r="Q489" s="479"/>
    </row>
    <row r="490" spans="3:17">
      <c r="C490" s="512">
        <f>IF(D444="","-",+C489+1)</f>
        <v>2053</v>
      </c>
      <c r="D490" s="477">
        <f t="shared" si="46"/>
        <v>0</v>
      </c>
      <c r="E490" s="519">
        <f t="shared" si="47"/>
        <v>0</v>
      </c>
      <c r="F490" s="519">
        <f t="shared" si="40"/>
        <v>0</v>
      </c>
      <c r="G490" s="477">
        <f t="shared" si="41"/>
        <v>0</v>
      </c>
      <c r="H490" s="513">
        <f>+J445*G490+E490</f>
        <v>0</v>
      </c>
      <c r="I490" s="520">
        <f>+J446*G490+E490</f>
        <v>0</v>
      </c>
      <c r="J490" s="516">
        <f t="shared" si="42"/>
        <v>0</v>
      </c>
      <c r="K490" s="516"/>
      <c r="L490" s="521"/>
      <c r="M490" s="516">
        <f t="shared" si="43"/>
        <v>0</v>
      </c>
      <c r="N490" s="521"/>
      <c r="O490" s="516">
        <f t="shared" si="44"/>
        <v>0</v>
      </c>
      <c r="P490" s="516">
        <f t="shared" si="45"/>
        <v>0</v>
      </c>
      <c r="Q490" s="479"/>
    </row>
    <row r="491" spans="3:17">
      <c r="C491" s="512">
        <f>IF(D444="","-",+C490+1)</f>
        <v>2054</v>
      </c>
      <c r="D491" s="477">
        <f t="shared" si="46"/>
        <v>0</v>
      </c>
      <c r="E491" s="519">
        <f t="shared" si="47"/>
        <v>0</v>
      </c>
      <c r="F491" s="519">
        <f t="shared" si="40"/>
        <v>0</v>
      </c>
      <c r="G491" s="477">
        <f t="shared" si="41"/>
        <v>0</v>
      </c>
      <c r="H491" s="513">
        <f>+J445*G491+E491</f>
        <v>0</v>
      </c>
      <c r="I491" s="520">
        <f>+J446*G491+E491</f>
        <v>0</v>
      </c>
      <c r="J491" s="516">
        <f t="shared" si="42"/>
        <v>0</v>
      </c>
      <c r="K491" s="516"/>
      <c r="L491" s="521"/>
      <c r="M491" s="516">
        <f t="shared" si="43"/>
        <v>0</v>
      </c>
      <c r="N491" s="521"/>
      <c r="O491" s="516">
        <f t="shared" si="44"/>
        <v>0</v>
      </c>
      <c r="P491" s="516">
        <f t="shared" si="45"/>
        <v>0</v>
      </c>
      <c r="Q491" s="479"/>
    </row>
    <row r="492" spans="3:17">
      <c r="C492" s="512">
        <f>IF(D444="","-",+C491+1)</f>
        <v>2055</v>
      </c>
      <c r="D492" s="477">
        <f t="shared" si="46"/>
        <v>0</v>
      </c>
      <c r="E492" s="519">
        <f t="shared" si="47"/>
        <v>0</v>
      </c>
      <c r="F492" s="519">
        <f t="shared" si="40"/>
        <v>0</v>
      </c>
      <c r="G492" s="477">
        <f t="shared" si="41"/>
        <v>0</v>
      </c>
      <c r="H492" s="513">
        <f>+J445*G492+E492</f>
        <v>0</v>
      </c>
      <c r="I492" s="520">
        <f>+J446*G492+E492</f>
        <v>0</v>
      </c>
      <c r="J492" s="516">
        <f t="shared" si="42"/>
        <v>0</v>
      </c>
      <c r="K492" s="516"/>
      <c r="L492" s="521"/>
      <c r="M492" s="516">
        <f t="shared" si="43"/>
        <v>0</v>
      </c>
      <c r="N492" s="521"/>
      <c r="O492" s="516">
        <f t="shared" si="44"/>
        <v>0</v>
      </c>
      <c r="P492" s="516">
        <f t="shared" si="45"/>
        <v>0</v>
      </c>
      <c r="Q492" s="479"/>
    </row>
    <row r="493" spans="3:17">
      <c r="C493" s="512">
        <f>IF(D444="","-",+C492+1)</f>
        <v>2056</v>
      </c>
      <c r="D493" s="477">
        <f t="shared" si="46"/>
        <v>0</v>
      </c>
      <c r="E493" s="519">
        <f t="shared" si="47"/>
        <v>0</v>
      </c>
      <c r="F493" s="519">
        <f t="shared" si="40"/>
        <v>0</v>
      </c>
      <c r="G493" s="477">
        <f t="shared" si="41"/>
        <v>0</v>
      </c>
      <c r="H493" s="513">
        <f>+J445*G493+E493</f>
        <v>0</v>
      </c>
      <c r="I493" s="520">
        <f>+J446*G493+E493</f>
        <v>0</v>
      </c>
      <c r="J493" s="516">
        <f t="shared" si="42"/>
        <v>0</v>
      </c>
      <c r="K493" s="516"/>
      <c r="L493" s="521"/>
      <c r="M493" s="516">
        <f t="shared" si="43"/>
        <v>0</v>
      </c>
      <c r="N493" s="521"/>
      <c r="O493" s="516">
        <f t="shared" si="44"/>
        <v>0</v>
      </c>
      <c r="P493" s="516">
        <f t="shared" si="45"/>
        <v>0</v>
      </c>
      <c r="Q493" s="479"/>
    </row>
    <row r="494" spans="3:17">
      <c r="C494" s="512">
        <f>IF(D444="","-",+C493+1)</f>
        <v>2057</v>
      </c>
      <c r="D494" s="477">
        <f t="shared" si="46"/>
        <v>0</v>
      </c>
      <c r="E494" s="519">
        <f t="shared" si="47"/>
        <v>0</v>
      </c>
      <c r="F494" s="519">
        <f t="shared" si="40"/>
        <v>0</v>
      </c>
      <c r="G494" s="477">
        <f t="shared" si="41"/>
        <v>0</v>
      </c>
      <c r="H494" s="513">
        <f>+J445*G494+E494</f>
        <v>0</v>
      </c>
      <c r="I494" s="520">
        <f>+J446*G494+E494</f>
        <v>0</v>
      </c>
      <c r="J494" s="516">
        <f t="shared" si="42"/>
        <v>0</v>
      </c>
      <c r="K494" s="516"/>
      <c r="L494" s="521"/>
      <c r="M494" s="516">
        <f t="shared" si="43"/>
        <v>0</v>
      </c>
      <c r="N494" s="521"/>
      <c r="O494" s="516">
        <f t="shared" si="44"/>
        <v>0</v>
      </c>
      <c r="P494" s="516">
        <f t="shared" si="45"/>
        <v>0</v>
      </c>
      <c r="Q494" s="479"/>
    </row>
    <row r="495" spans="3:17">
      <c r="C495" s="512">
        <f>IF(D444="","-",+C494+1)</f>
        <v>2058</v>
      </c>
      <c r="D495" s="477">
        <f t="shared" si="46"/>
        <v>0</v>
      </c>
      <c r="E495" s="519">
        <f t="shared" si="47"/>
        <v>0</v>
      </c>
      <c r="F495" s="519">
        <f t="shared" si="40"/>
        <v>0</v>
      </c>
      <c r="G495" s="477">
        <f t="shared" si="41"/>
        <v>0</v>
      </c>
      <c r="H495" s="513">
        <f>+J445*G495+E495</f>
        <v>0</v>
      </c>
      <c r="I495" s="520">
        <f>+J446*G495+E495</f>
        <v>0</v>
      </c>
      <c r="J495" s="516">
        <f t="shared" si="42"/>
        <v>0</v>
      </c>
      <c r="K495" s="516"/>
      <c r="L495" s="521"/>
      <c r="M495" s="516">
        <f t="shared" si="43"/>
        <v>0</v>
      </c>
      <c r="N495" s="521"/>
      <c r="O495" s="516">
        <f t="shared" si="44"/>
        <v>0</v>
      </c>
      <c r="P495" s="516">
        <f t="shared" si="45"/>
        <v>0</v>
      </c>
      <c r="Q495" s="479"/>
    </row>
    <row r="496" spans="3:17">
      <c r="C496" s="512">
        <f>IF(D444="","-",+C495+1)</f>
        <v>2059</v>
      </c>
      <c r="D496" s="477">
        <f t="shared" si="46"/>
        <v>0</v>
      </c>
      <c r="E496" s="519">
        <f t="shared" si="47"/>
        <v>0</v>
      </c>
      <c r="F496" s="519">
        <f t="shared" si="40"/>
        <v>0</v>
      </c>
      <c r="G496" s="477">
        <f t="shared" si="41"/>
        <v>0</v>
      </c>
      <c r="H496" s="513">
        <f>+J445*G496+E496</f>
        <v>0</v>
      </c>
      <c r="I496" s="520">
        <f>+J446*G496+E496</f>
        <v>0</v>
      </c>
      <c r="J496" s="516">
        <f t="shared" si="42"/>
        <v>0</v>
      </c>
      <c r="K496" s="516"/>
      <c r="L496" s="521"/>
      <c r="M496" s="516">
        <f t="shared" si="43"/>
        <v>0</v>
      </c>
      <c r="N496" s="521"/>
      <c r="O496" s="516">
        <f t="shared" si="44"/>
        <v>0</v>
      </c>
      <c r="P496" s="516">
        <f t="shared" si="45"/>
        <v>0</v>
      </c>
      <c r="Q496" s="479"/>
    </row>
    <row r="497" spans="3:17">
      <c r="C497" s="512">
        <f>IF(D444="","-",+C496+1)</f>
        <v>2060</v>
      </c>
      <c r="D497" s="477">
        <f t="shared" si="46"/>
        <v>0</v>
      </c>
      <c r="E497" s="519">
        <f t="shared" si="47"/>
        <v>0</v>
      </c>
      <c r="F497" s="519">
        <f t="shared" si="40"/>
        <v>0</v>
      </c>
      <c r="G497" s="477">
        <f t="shared" si="41"/>
        <v>0</v>
      </c>
      <c r="H497" s="513">
        <f>+J445*G497+E497</f>
        <v>0</v>
      </c>
      <c r="I497" s="520">
        <f>+J446*G497+E497</f>
        <v>0</v>
      </c>
      <c r="J497" s="516">
        <f t="shared" si="42"/>
        <v>0</v>
      </c>
      <c r="K497" s="516"/>
      <c r="L497" s="521"/>
      <c r="M497" s="516">
        <f t="shared" si="43"/>
        <v>0</v>
      </c>
      <c r="N497" s="521"/>
      <c r="O497" s="516">
        <f t="shared" si="44"/>
        <v>0</v>
      </c>
      <c r="P497" s="516">
        <f t="shared" si="45"/>
        <v>0</v>
      </c>
      <c r="Q497" s="479"/>
    </row>
    <row r="498" spans="3:17">
      <c r="C498" s="512">
        <f>IF(D444="","-",+C497+1)</f>
        <v>2061</v>
      </c>
      <c r="D498" s="477">
        <f t="shared" si="46"/>
        <v>0</v>
      </c>
      <c r="E498" s="519">
        <f t="shared" si="47"/>
        <v>0</v>
      </c>
      <c r="F498" s="519">
        <f t="shared" si="40"/>
        <v>0</v>
      </c>
      <c r="G498" s="477">
        <f t="shared" si="41"/>
        <v>0</v>
      </c>
      <c r="H498" s="513">
        <f>+J445*G498+E498</f>
        <v>0</v>
      </c>
      <c r="I498" s="520">
        <f>+J446*G498+E498</f>
        <v>0</v>
      </c>
      <c r="J498" s="516">
        <f t="shared" si="42"/>
        <v>0</v>
      </c>
      <c r="K498" s="516"/>
      <c r="L498" s="521"/>
      <c r="M498" s="516">
        <f t="shared" si="43"/>
        <v>0</v>
      </c>
      <c r="N498" s="521"/>
      <c r="O498" s="516">
        <f t="shared" si="44"/>
        <v>0</v>
      </c>
      <c r="P498" s="516">
        <f t="shared" si="45"/>
        <v>0</v>
      </c>
      <c r="Q498" s="479"/>
    </row>
    <row r="499" spans="3:17">
      <c r="C499" s="512">
        <f>IF(D444="","-",+C498+1)</f>
        <v>2062</v>
      </c>
      <c r="D499" s="477">
        <f t="shared" si="46"/>
        <v>0</v>
      </c>
      <c r="E499" s="519">
        <f t="shared" si="47"/>
        <v>0</v>
      </c>
      <c r="F499" s="519">
        <f t="shared" si="40"/>
        <v>0</v>
      </c>
      <c r="G499" s="477">
        <f t="shared" si="41"/>
        <v>0</v>
      </c>
      <c r="H499" s="513">
        <f>+J445*G499+E499</f>
        <v>0</v>
      </c>
      <c r="I499" s="520">
        <f>+J446*G499+E499</f>
        <v>0</v>
      </c>
      <c r="J499" s="516">
        <f t="shared" si="42"/>
        <v>0</v>
      </c>
      <c r="K499" s="516"/>
      <c r="L499" s="521"/>
      <c r="M499" s="516">
        <f t="shared" si="43"/>
        <v>0</v>
      </c>
      <c r="N499" s="521"/>
      <c r="O499" s="516">
        <f t="shared" si="44"/>
        <v>0</v>
      </c>
      <c r="P499" s="516">
        <f t="shared" si="45"/>
        <v>0</v>
      </c>
      <c r="Q499" s="479"/>
    </row>
    <row r="500" spans="3:17">
      <c r="C500" s="512">
        <f>IF(D444="","-",+C499+1)</f>
        <v>2063</v>
      </c>
      <c r="D500" s="477">
        <f t="shared" si="46"/>
        <v>0</v>
      </c>
      <c r="E500" s="519">
        <f t="shared" si="47"/>
        <v>0</v>
      </c>
      <c r="F500" s="519">
        <f t="shared" si="40"/>
        <v>0</v>
      </c>
      <c r="G500" s="477">
        <f t="shared" si="41"/>
        <v>0</v>
      </c>
      <c r="H500" s="513">
        <f>+J445*G500+E500</f>
        <v>0</v>
      </c>
      <c r="I500" s="520">
        <f>+J446*G500+E500</f>
        <v>0</v>
      </c>
      <c r="J500" s="516">
        <f t="shared" si="42"/>
        <v>0</v>
      </c>
      <c r="K500" s="516"/>
      <c r="L500" s="521"/>
      <c r="M500" s="516">
        <f t="shared" si="43"/>
        <v>0</v>
      </c>
      <c r="N500" s="521"/>
      <c r="O500" s="516">
        <f t="shared" si="44"/>
        <v>0</v>
      </c>
      <c r="P500" s="516">
        <f t="shared" si="45"/>
        <v>0</v>
      </c>
      <c r="Q500" s="479"/>
    </row>
    <row r="501" spans="3:17">
      <c r="C501" s="512">
        <f>IF(D444="","-",+C500+1)</f>
        <v>2064</v>
      </c>
      <c r="D501" s="477">
        <f t="shared" si="46"/>
        <v>0</v>
      </c>
      <c r="E501" s="519">
        <f t="shared" si="47"/>
        <v>0</v>
      </c>
      <c r="F501" s="519">
        <f t="shared" si="40"/>
        <v>0</v>
      </c>
      <c r="G501" s="477">
        <f t="shared" si="41"/>
        <v>0</v>
      </c>
      <c r="H501" s="513">
        <f>+J445*G501+E501</f>
        <v>0</v>
      </c>
      <c r="I501" s="520">
        <f>+J446*G501+E501</f>
        <v>0</v>
      </c>
      <c r="J501" s="516">
        <f t="shared" si="42"/>
        <v>0</v>
      </c>
      <c r="K501" s="516"/>
      <c r="L501" s="521"/>
      <c r="M501" s="516">
        <f t="shared" si="43"/>
        <v>0</v>
      </c>
      <c r="N501" s="521"/>
      <c r="O501" s="516">
        <f t="shared" si="44"/>
        <v>0</v>
      </c>
      <c r="P501" s="516">
        <f t="shared" si="45"/>
        <v>0</v>
      </c>
      <c r="Q501" s="479"/>
    </row>
    <row r="502" spans="3:17">
      <c r="C502" s="512">
        <f>IF(D444="","-",+C501+1)</f>
        <v>2065</v>
      </c>
      <c r="D502" s="477">
        <f t="shared" si="46"/>
        <v>0</v>
      </c>
      <c r="E502" s="519">
        <f t="shared" si="47"/>
        <v>0</v>
      </c>
      <c r="F502" s="519">
        <f t="shared" si="40"/>
        <v>0</v>
      </c>
      <c r="G502" s="477">
        <f t="shared" si="41"/>
        <v>0</v>
      </c>
      <c r="H502" s="513">
        <f>+J445*G502+E502</f>
        <v>0</v>
      </c>
      <c r="I502" s="520">
        <f>+J446*G502+E502</f>
        <v>0</v>
      </c>
      <c r="J502" s="516">
        <f t="shared" si="42"/>
        <v>0</v>
      </c>
      <c r="K502" s="516"/>
      <c r="L502" s="521"/>
      <c r="M502" s="516">
        <f t="shared" si="43"/>
        <v>0</v>
      </c>
      <c r="N502" s="521"/>
      <c r="O502" s="516">
        <f t="shared" si="44"/>
        <v>0</v>
      </c>
      <c r="P502" s="516">
        <f t="shared" si="45"/>
        <v>0</v>
      </c>
      <c r="Q502" s="479"/>
    </row>
    <row r="503" spans="3:17">
      <c r="C503" s="512">
        <f>IF(D444="","-",+C502+1)</f>
        <v>2066</v>
      </c>
      <c r="D503" s="477">
        <f t="shared" si="46"/>
        <v>0</v>
      </c>
      <c r="E503" s="519">
        <f t="shared" si="47"/>
        <v>0</v>
      </c>
      <c r="F503" s="519">
        <f t="shared" si="40"/>
        <v>0</v>
      </c>
      <c r="G503" s="477">
        <f t="shared" si="41"/>
        <v>0</v>
      </c>
      <c r="H503" s="513">
        <f>+J445*G503+E503</f>
        <v>0</v>
      </c>
      <c r="I503" s="520">
        <f>+J446*G503+E503</f>
        <v>0</v>
      </c>
      <c r="J503" s="516">
        <f t="shared" si="42"/>
        <v>0</v>
      </c>
      <c r="K503" s="516"/>
      <c r="L503" s="521"/>
      <c r="M503" s="516">
        <f t="shared" si="43"/>
        <v>0</v>
      </c>
      <c r="N503" s="521"/>
      <c r="O503" s="516">
        <f t="shared" si="44"/>
        <v>0</v>
      </c>
      <c r="P503" s="516">
        <f t="shared" si="45"/>
        <v>0</v>
      </c>
      <c r="Q503" s="479"/>
    </row>
    <row r="504" spans="3:17">
      <c r="C504" s="512">
        <f>IF(D444="","-",+C503+1)</f>
        <v>2067</v>
      </c>
      <c r="D504" s="477">
        <f t="shared" si="46"/>
        <v>0</v>
      </c>
      <c r="E504" s="519">
        <f t="shared" si="47"/>
        <v>0</v>
      </c>
      <c r="F504" s="519">
        <f t="shared" si="40"/>
        <v>0</v>
      </c>
      <c r="G504" s="477">
        <f t="shared" si="41"/>
        <v>0</v>
      </c>
      <c r="H504" s="513">
        <f>+J445*G504+E504</f>
        <v>0</v>
      </c>
      <c r="I504" s="520">
        <f>+J446*G504+E504</f>
        <v>0</v>
      </c>
      <c r="J504" s="516">
        <f t="shared" si="42"/>
        <v>0</v>
      </c>
      <c r="K504" s="516"/>
      <c r="L504" s="521"/>
      <c r="M504" s="516">
        <f t="shared" si="43"/>
        <v>0</v>
      </c>
      <c r="N504" s="521"/>
      <c r="O504" s="516">
        <f t="shared" si="44"/>
        <v>0</v>
      </c>
      <c r="P504" s="516">
        <f t="shared" si="45"/>
        <v>0</v>
      </c>
      <c r="Q504" s="479"/>
    </row>
    <row r="505" spans="3:17">
      <c r="C505" s="512">
        <f>IF(D444="","-",+C504+1)</f>
        <v>2068</v>
      </c>
      <c r="D505" s="477">
        <f t="shared" si="46"/>
        <v>0</v>
      </c>
      <c r="E505" s="519">
        <f t="shared" si="47"/>
        <v>0</v>
      </c>
      <c r="F505" s="519">
        <f t="shared" si="40"/>
        <v>0</v>
      </c>
      <c r="G505" s="477">
        <f t="shared" si="41"/>
        <v>0</v>
      </c>
      <c r="H505" s="513">
        <f>+J445*G505+E505</f>
        <v>0</v>
      </c>
      <c r="I505" s="520">
        <f>+J446*G505+E505</f>
        <v>0</v>
      </c>
      <c r="J505" s="516">
        <f t="shared" si="42"/>
        <v>0</v>
      </c>
      <c r="K505" s="516"/>
      <c r="L505" s="521"/>
      <c r="M505" s="516">
        <f t="shared" si="43"/>
        <v>0</v>
      </c>
      <c r="N505" s="521"/>
      <c r="O505" s="516">
        <f t="shared" si="44"/>
        <v>0</v>
      </c>
      <c r="P505" s="516">
        <f t="shared" si="45"/>
        <v>0</v>
      </c>
      <c r="Q505" s="479"/>
    </row>
    <row r="506" spans="3:17">
      <c r="C506" s="512">
        <f>IF(D444="","-",+C505+1)</f>
        <v>2069</v>
      </c>
      <c r="D506" s="477">
        <f t="shared" si="46"/>
        <v>0</v>
      </c>
      <c r="E506" s="519">
        <f t="shared" si="47"/>
        <v>0</v>
      </c>
      <c r="F506" s="519">
        <f t="shared" si="40"/>
        <v>0</v>
      </c>
      <c r="G506" s="477">
        <f t="shared" si="41"/>
        <v>0</v>
      </c>
      <c r="H506" s="513">
        <f>+J445*G506+E506</f>
        <v>0</v>
      </c>
      <c r="I506" s="520">
        <f>+J446*G506+E506</f>
        <v>0</v>
      </c>
      <c r="J506" s="516">
        <f t="shared" si="42"/>
        <v>0</v>
      </c>
      <c r="K506" s="516"/>
      <c r="L506" s="521"/>
      <c r="M506" s="516">
        <f t="shared" si="43"/>
        <v>0</v>
      </c>
      <c r="N506" s="521"/>
      <c r="O506" s="516">
        <f t="shared" si="44"/>
        <v>0</v>
      </c>
      <c r="P506" s="516">
        <f t="shared" si="45"/>
        <v>0</v>
      </c>
      <c r="Q506" s="479"/>
    </row>
    <row r="507" spans="3:17">
      <c r="C507" s="512">
        <f>IF(D444="","-",+C506+1)</f>
        <v>2070</v>
      </c>
      <c r="D507" s="477">
        <f t="shared" si="46"/>
        <v>0</v>
      </c>
      <c r="E507" s="519">
        <f t="shared" si="47"/>
        <v>0</v>
      </c>
      <c r="F507" s="519">
        <f t="shared" si="40"/>
        <v>0</v>
      </c>
      <c r="G507" s="477">
        <f t="shared" si="41"/>
        <v>0</v>
      </c>
      <c r="H507" s="513">
        <f>+J445*G507+E507</f>
        <v>0</v>
      </c>
      <c r="I507" s="520">
        <f>+J446*G507+E507</f>
        <v>0</v>
      </c>
      <c r="J507" s="516">
        <f t="shared" si="42"/>
        <v>0</v>
      </c>
      <c r="K507" s="516"/>
      <c r="L507" s="521"/>
      <c r="M507" s="516">
        <f t="shared" si="43"/>
        <v>0</v>
      </c>
      <c r="N507" s="521"/>
      <c r="O507" s="516">
        <f t="shared" si="44"/>
        <v>0</v>
      </c>
      <c r="P507" s="516">
        <f t="shared" si="45"/>
        <v>0</v>
      </c>
      <c r="Q507" s="479"/>
    </row>
    <row r="508" spans="3:17">
      <c r="C508" s="512">
        <f>IF(D444="","-",+C507+1)</f>
        <v>2071</v>
      </c>
      <c r="D508" s="477">
        <f t="shared" si="46"/>
        <v>0</v>
      </c>
      <c r="E508" s="519">
        <f t="shared" si="47"/>
        <v>0</v>
      </c>
      <c r="F508" s="519">
        <f t="shared" si="40"/>
        <v>0</v>
      </c>
      <c r="G508" s="477">
        <f t="shared" si="41"/>
        <v>0</v>
      </c>
      <c r="H508" s="513">
        <f>+J445*G508+E508</f>
        <v>0</v>
      </c>
      <c r="I508" s="520">
        <f>+J446*G508+E508</f>
        <v>0</v>
      </c>
      <c r="J508" s="516">
        <f t="shared" si="42"/>
        <v>0</v>
      </c>
      <c r="K508" s="516"/>
      <c r="L508" s="521"/>
      <c r="M508" s="516">
        <f t="shared" si="43"/>
        <v>0</v>
      </c>
      <c r="N508" s="521"/>
      <c r="O508" s="516">
        <f t="shared" si="44"/>
        <v>0</v>
      </c>
      <c r="P508" s="516">
        <f t="shared" si="45"/>
        <v>0</v>
      </c>
      <c r="Q508" s="479"/>
    </row>
    <row r="509" spans="3:17" ht="13.5" thickBot="1">
      <c r="C509" s="523">
        <f>IF(D444="","-",+C508+1)</f>
        <v>2072</v>
      </c>
      <c r="D509" s="524">
        <f t="shared" si="46"/>
        <v>0</v>
      </c>
      <c r="E509" s="974">
        <f t="shared" si="47"/>
        <v>0</v>
      </c>
      <c r="F509" s="525">
        <f t="shared" si="40"/>
        <v>0</v>
      </c>
      <c r="G509" s="524">
        <f t="shared" si="41"/>
        <v>0</v>
      </c>
      <c r="H509" s="526">
        <f>+J445*G509+E509</f>
        <v>0</v>
      </c>
      <c r="I509" s="526">
        <f>+J446*G509+E509</f>
        <v>0</v>
      </c>
      <c r="J509" s="527">
        <f t="shared" si="42"/>
        <v>0</v>
      </c>
      <c r="K509" s="516"/>
      <c r="L509" s="528"/>
      <c r="M509" s="527">
        <f t="shared" si="43"/>
        <v>0</v>
      </c>
      <c r="N509" s="528"/>
      <c r="O509" s="527">
        <f t="shared" si="44"/>
        <v>0</v>
      </c>
      <c r="P509" s="527">
        <f t="shared" si="45"/>
        <v>0</v>
      </c>
      <c r="Q509" s="479"/>
    </row>
    <row r="510" spans="3:17">
      <c r="C510" s="477" t="s">
        <v>289</v>
      </c>
      <c r="D510" s="475"/>
      <c r="E510" s="475">
        <f>SUM(E450:E509)</f>
        <v>818037.26000000013</v>
      </c>
      <c r="F510" s="475"/>
      <c r="G510" s="475"/>
      <c r="H510" s="475">
        <f>SUM(H450:H509)</f>
        <v>2635531.5158167696</v>
      </c>
      <c r="I510" s="475">
        <f>SUM(I450:I509)</f>
        <v>2635531.5158167696</v>
      </c>
      <c r="J510" s="475">
        <f>SUM(J450:J509)</f>
        <v>0</v>
      </c>
      <c r="K510" s="475"/>
      <c r="L510" s="475"/>
      <c r="M510" s="475"/>
      <c r="N510" s="475"/>
      <c r="O510" s="475"/>
      <c r="Q510" s="475"/>
    </row>
    <row r="511" spans="3:17">
      <c r="D511" s="82"/>
      <c r="E511" s="4"/>
      <c r="F511" s="4"/>
      <c r="G511" s="4"/>
      <c r="H511" s="4"/>
      <c r="I511" s="460"/>
      <c r="J511" s="460"/>
      <c r="K511" s="475"/>
      <c r="L511" s="460"/>
      <c r="M511" s="460"/>
      <c r="N511" s="460"/>
      <c r="O511" s="460"/>
      <c r="Q511" s="475"/>
    </row>
    <row r="512" spans="3:17">
      <c r="C512" s="4" t="s">
        <v>596</v>
      </c>
      <c r="D512" s="82"/>
      <c r="E512" s="4"/>
      <c r="F512" s="4"/>
      <c r="G512" s="4"/>
      <c r="H512" s="4"/>
      <c r="I512" s="460"/>
      <c r="J512" s="460"/>
      <c r="K512" s="475"/>
      <c r="L512" s="460"/>
      <c r="M512" s="460"/>
      <c r="N512" s="460"/>
      <c r="O512" s="460"/>
      <c r="Q512" s="475"/>
    </row>
    <row r="513" spans="1:17">
      <c r="D513" s="82"/>
      <c r="E513" s="4"/>
      <c r="F513" s="4"/>
      <c r="G513" s="4"/>
      <c r="H513" s="4"/>
      <c r="I513" s="460"/>
      <c r="J513" s="460"/>
      <c r="K513" s="475"/>
      <c r="L513" s="460"/>
      <c r="M513" s="460"/>
      <c r="N513" s="460"/>
      <c r="O513" s="460"/>
      <c r="Q513" s="475"/>
    </row>
    <row r="514" spans="1:17">
      <c r="C514" s="4" t="s">
        <v>597</v>
      </c>
      <c r="D514" s="477"/>
      <c r="E514" s="477"/>
      <c r="F514" s="477"/>
      <c r="G514" s="477"/>
      <c r="H514" s="475"/>
      <c r="I514" s="475"/>
      <c r="J514" s="479"/>
      <c r="K514" s="479"/>
      <c r="L514" s="479"/>
      <c r="M514" s="479"/>
      <c r="N514" s="479"/>
      <c r="O514" s="479"/>
      <c r="Q514" s="479"/>
    </row>
    <row r="515" spans="1:17">
      <c r="C515" s="4" t="s">
        <v>477</v>
      </c>
      <c r="D515" s="477"/>
      <c r="E515" s="477"/>
      <c r="F515" s="477"/>
      <c r="G515" s="477"/>
      <c r="H515" s="475"/>
      <c r="I515" s="475"/>
      <c r="J515" s="479"/>
      <c r="K515" s="479"/>
      <c r="L515" s="479"/>
      <c r="M515" s="479"/>
      <c r="N515" s="479"/>
      <c r="O515" s="479"/>
      <c r="Q515" s="479"/>
    </row>
    <row r="516" spans="1:17">
      <c r="C516" s="4" t="s">
        <v>290</v>
      </c>
      <c r="D516" s="477"/>
      <c r="E516" s="477"/>
      <c r="F516" s="477"/>
      <c r="G516" s="477"/>
      <c r="H516" s="475"/>
      <c r="I516" s="475"/>
      <c r="J516" s="479"/>
      <c r="K516" s="479"/>
      <c r="L516" s="479"/>
      <c r="M516" s="479"/>
      <c r="N516" s="479"/>
      <c r="O516" s="479"/>
      <c r="Q516" s="479"/>
    </row>
    <row r="517" spans="1:17">
      <c r="C517" s="478"/>
      <c r="D517" s="477"/>
      <c r="E517" s="477"/>
      <c r="F517" s="477"/>
      <c r="G517" s="477"/>
      <c r="H517" s="475"/>
      <c r="I517" s="475"/>
      <c r="J517" s="479"/>
      <c r="K517" s="479"/>
      <c r="L517" s="479"/>
      <c r="M517" s="479"/>
      <c r="N517" s="479"/>
      <c r="O517" s="479"/>
      <c r="Q517" s="479"/>
    </row>
    <row r="518" spans="1:17" ht="20.25">
      <c r="A518" s="419" t="s">
        <v>763</v>
      </c>
      <c r="B518" s="4"/>
      <c r="C518" s="4"/>
      <c r="D518" s="82"/>
      <c r="E518" s="4"/>
      <c r="F518" s="84"/>
      <c r="G518" s="84"/>
      <c r="H518" s="4"/>
      <c r="I518" s="460"/>
      <c r="L518" s="11"/>
      <c r="M518" s="11"/>
      <c r="N518" s="11"/>
      <c r="O518" s="11" t="str">
        <f>"Page "&amp;SUM(Q$3:Q518)&amp;" of "</f>
        <v xml:space="preserve">Page 9 of </v>
      </c>
      <c r="P518" s="420">
        <f>COUNT(Q$8:Q$58123)</f>
        <v>15</v>
      </c>
      <c r="Q518" s="547">
        <v>1</v>
      </c>
    </row>
    <row r="519" spans="1:17">
      <c r="B519" s="4"/>
      <c r="C519" s="4"/>
      <c r="D519" s="82"/>
      <c r="E519" s="4"/>
      <c r="F519" s="4"/>
      <c r="G519" s="4"/>
      <c r="H519" s="4"/>
      <c r="I519" s="460"/>
      <c r="J519" s="4"/>
      <c r="K519" s="4"/>
    </row>
    <row r="520" spans="1:17" ht="18">
      <c r="B520" s="421" t="s">
        <v>175</v>
      </c>
      <c r="C520" s="480" t="s">
        <v>291</v>
      </c>
      <c r="D520" s="82"/>
      <c r="E520" s="4"/>
      <c r="F520" s="4"/>
      <c r="G520" s="4"/>
      <c r="H520" s="4"/>
      <c r="I520" s="460"/>
      <c r="J520" s="460"/>
      <c r="K520" s="475"/>
      <c r="L520" s="460"/>
      <c r="M520" s="460"/>
      <c r="N520" s="460"/>
      <c r="O520" s="460"/>
      <c r="Q520" s="475"/>
    </row>
    <row r="521" spans="1:17" ht="18.75">
      <c r="B521" s="421"/>
      <c r="C521" s="13"/>
      <c r="D521" s="82"/>
      <c r="E521" s="4"/>
      <c r="F521" s="4"/>
      <c r="G521" s="4"/>
      <c r="H521" s="4"/>
      <c r="I521" s="460"/>
      <c r="J521" s="460"/>
      <c r="K521" s="475"/>
      <c r="L521" s="460"/>
      <c r="M521" s="460"/>
      <c r="N521" s="460"/>
      <c r="O521" s="460"/>
      <c r="Q521" s="475"/>
    </row>
    <row r="522" spans="1:17" ht="18.75">
      <c r="B522" s="421"/>
      <c r="C522" s="13" t="s">
        <v>292</v>
      </c>
      <c r="D522" s="82"/>
      <c r="E522" s="4"/>
      <c r="F522" s="4"/>
      <c r="G522" s="4"/>
      <c r="H522" s="4"/>
      <c r="I522" s="460"/>
      <c r="J522" s="460"/>
      <c r="K522" s="475"/>
      <c r="L522" s="460"/>
      <c r="M522" s="460"/>
      <c r="N522" s="460"/>
      <c r="O522" s="460"/>
      <c r="Q522" s="475"/>
    </row>
    <row r="523" spans="1:17" ht="15.75" thickBot="1">
      <c r="C523" s="254"/>
      <c r="D523" s="82"/>
      <c r="E523" s="4"/>
      <c r="F523" s="4"/>
      <c r="G523" s="4"/>
      <c r="H523" s="4"/>
      <c r="I523" s="460"/>
      <c r="J523" s="460"/>
      <c r="K523" s="475"/>
      <c r="L523" s="460"/>
      <c r="M523" s="460"/>
      <c r="N523" s="460"/>
      <c r="O523" s="460"/>
      <c r="Q523" s="475"/>
    </row>
    <row r="524" spans="1:17" ht="15.75">
      <c r="C524" s="422" t="s">
        <v>293</v>
      </c>
      <c r="D524" s="82"/>
      <c r="E524" s="4"/>
      <c r="F524" s="4"/>
      <c r="G524" s="4"/>
      <c r="H524" s="645"/>
      <c r="I524" s="4" t="s">
        <v>272</v>
      </c>
      <c r="J524" s="4"/>
      <c r="K524" s="4"/>
      <c r="L524" s="548">
        <f>+J530</f>
        <v>2025</v>
      </c>
      <c r="M524" s="532" t="s">
        <v>255</v>
      </c>
      <c r="N524" s="532" t="s">
        <v>256</v>
      </c>
      <c r="O524" s="533" t="s">
        <v>257</v>
      </c>
    </row>
    <row r="525" spans="1:17" ht="15.75">
      <c r="C525" s="422"/>
      <c r="D525" s="82"/>
      <c r="E525" s="4"/>
      <c r="F525" s="4"/>
      <c r="H525" s="4"/>
      <c r="I525" s="484"/>
      <c r="J525" s="484"/>
      <c r="K525" s="485"/>
      <c r="L525" s="549" t="s">
        <v>456</v>
      </c>
      <c r="M525" s="550">
        <f>VLOOKUP(J530,C537:P596,10)</f>
        <v>1476846.6762813053</v>
      </c>
      <c r="N525" s="550">
        <f>VLOOKUP(J530,C537:P596,12)</f>
        <v>1476846.6762813053</v>
      </c>
      <c r="O525" s="551">
        <f>+N525-M525</f>
        <v>0</v>
      </c>
      <c r="Q525" s="485"/>
    </row>
    <row r="526" spans="1:17">
      <c r="C526" s="487" t="s">
        <v>294</v>
      </c>
      <c r="D526" s="1270" t="s">
        <v>937</v>
      </c>
      <c r="E526" s="1271"/>
      <c r="F526" s="1271"/>
      <c r="G526" s="1271"/>
      <c r="H526" s="1271"/>
      <c r="I526" s="1271"/>
      <c r="J526" s="460"/>
      <c r="K526" s="475"/>
      <c r="L526" s="549" t="s">
        <v>457</v>
      </c>
      <c r="M526" s="552">
        <f>VLOOKUP(J530,C537:P596,6)</f>
        <v>1410003.8585193965</v>
      </c>
      <c r="N526" s="552">
        <f>VLOOKUP(J530,C537:P596,7)</f>
        <v>1410003.8585193965</v>
      </c>
      <c r="O526" s="553">
        <f>+N526-M526</f>
        <v>0</v>
      </c>
      <c r="Q526" s="475"/>
    </row>
    <row r="527" spans="1:17" ht="13.5" thickBot="1">
      <c r="C527" s="489"/>
      <c r="D527" s="1271"/>
      <c r="E527" s="1271"/>
      <c r="F527" s="1271"/>
      <c r="G527" s="1271"/>
      <c r="H527" s="1271"/>
      <c r="I527" s="1271"/>
      <c r="J527" s="460"/>
      <c r="K527" s="475"/>
      <c r="L527" s="499" t="s">
        <v>458</v>
      </c>
      <c r="M527" s="554">
        <f>+M526-M525</f>
        <v>-66842.817761908751</v>
      </c>
      <c r="N527" s="554">
        <f>+N526-N525</f>
        <v>-66842.817761908751</v>
      </c>
      <c r="O527" s="555">
        <f>+O526-O525</f>
        <v>0</v>
      </c>
      <c r="Q527" s="475"/>
    </row>
    <row r="528" spans="1:17" ht="13.5" thickBot="1">
      <c r="C528" s="489"/>
      <c r="D528" s="4"/>
      <c r="E528" s="490"/>
      <c r="F528" s="490"/>
      <c r="G528" s="490"/>
      <c r="H528" s="490"/>
      <c r="I528" s="490"/>
      <c r="J528" s="490"/>
      <c r="K528" s="490"/>
      <c r="L528" s="490"/>
      <c r="M528" s="490"/>
      <c r="N528" s="490"/>
      <c r="O528" s="490"/>
      <c r="Q528" s="490"/>
    </row>
    <row r="529" spans="1:17" ht="13.5" thickBot="1">
      <c r="C529" s="491" t="s">
        <v>295</v>
      </c>
      <c r="D529" s="492"/>
      <c r="E529" s="492"/>
      <c r="F529" s="492"/>
      <c r="G529" s="492"/>
      <c r="H529" s="492"/>
      <c r="I529" s="492"/>
      <c r="J529" s="492"/>
      <c r="Q529"/>
    </row>
    <row r="530" spans="1:17" ht="15">
      <c r="A530" s="978"/>
      <c r="C530" s="494" t="s">
        <v>273</v>
      </c>
      <c r="D530" s="946">
        <v>13274158.730000002</v>
      </c>
      <c r="E530" s="4" t="s">
        <v>274</v>
      </c>
      <c r="H530" s="82"/>
      <c r="I530" s="82"/>
      <c r="J530" s="495">
        <f>$J$95</f>
        <v>2025</v>
      </c>
      <c r="K530" s="138"/>
      <c r="L530" s="1284" t="s">
        <v>275</v>
      </c>
      <c r="M530" s="1284"/>
      <c r="N530" s="1284"/>
      <c r="O530" s="1284"/>
      <c r="Q530" s="138"/>
    </row>
    <row r="531" spans="1:17">
      <c r="A531" s="978"/>
      <c r="C531" s="494" t="s">
        <v>276</v>
      </c>
      <c r="D531" s="647">
        <v>2014</v>
      </c>
      <c r="E531" s="494" t="s">
        <v>277</v>
      </c>
      <c r="F531" s="82"/>
      <c r="G531" s="82"/>
      <c r="I531"/>
      <c r="J531" s="650">
        <v>0</v>
      </c>
      <c r="K531" s="496"/>
      <c r="L531" s="475" t="s">
        <v>476</v>
      </c>
      <c r="Q531" s="496"/>
    </row>
    <row r="532" spans="1:17">
      <c r="A532" s="978"/>
      <c r="C532" s="494" t="s">
        <v>278</v>
      </c>
      <c r="D532" s="946">
        <v>10</v>
      </c>
      <c r="E532" s="494" t="s">
        <v>279</v>
      </c>
      <c r="F532" s="82"/>
      <c r="G532" s="82"/>
      <c r="I532"/>
      <c r="J532" s="497">
        <f>$F$70</f>
        <v>0.11108872081308177</v>
      </c>
      <c r="K532" s="84"/>
      <c r="L532" s="4" t="str">
        <f>"          INPUT TRUE-UP ARR (WITH &amp; WITHOUT INCENTIVES) FROM EACH PRIOR YEAR"</f>
        <v xml:space="preserve">          INPUT TRUE-UP ARR (WITH &amp; WITHOUT INCENTIVES) FROM EACH PRIOR YEAR</v>
      </c>
      <c r="Q532" s="84"/>
    </row>
    <row r="533" spans="1:17">
      <c r="A533" s="978"/>
      <c r="C533" s="494" t="s">
        <v>280</v>
      </c>
      <c r="D533" s="498">
        <f>H79</f>
        <v>38</v>
      </c>
      <c r="E533" s="494" t="s">
        <v>281</v>
      </c>
      <c r="F533" s="82"/>
      <c r="G533" s="82"/>
      <c r="I533"/>
      <c r="J533" s="497">
        <f>IF(H524="",J532,$F$69)</f>
        <v>0.11108872081308177</v>
      </c>
      <c r="K533" s="84"/>
      <c r="L533" s="4" t="s">
        <v>363</v>
      </c>
      <c r="M533" s="84"/>
      <c r="N533" s="84"/>
      <c r="O533" s="84"/>
      <c r="Q533" s="84"/>
    </row>
    <row r="534" spans="1:17" ht="13.5" thickBot="1">
      <c r="A534" s="978"/>
      <c r="C534" s="494" t="s">
        <v>282</v>
      </c>
      <c r="D534" s="649" t="s">
        <v>930</v>
      </c>
      <c r="E534" s="499" t="s">
        <v>283</v>
      </c>
      <c r="F534" s="500"/>
      <c r="G534" s="500"/>
      <c r="H534" s="501"/>
      <c r="I534" s="501"/>
      <c r="J534" s="488">
        <f>IF(D530=0,0,D530/D533)</f>
        <v>349319.96657894744</v>
      </c>
      <c r="K534" s="475"/>
      <c r="L534" s="475" t="s">
        <v>364</v>
      </c>
      <c r="M534" s="475"/>
      <c r="N534" s="475"/>
      <c r="O534" s="475"/>
      <c r="Q534" s="475"/>
    </row>
    <row r="535" spans="1:17" ht="38.25">
      <c r="A535" s="12"/>
      <c r="B535" s="12"/>
      <c r="C535" s="502" t="s">
        <v>273</v>
      </c>
      <c r="D535" s="503" t="s">
        <v>284</v>
      </c>
      <c r="E535" s="504" t="s">
        <v>285</v>
      </c>
      <c r="F535" s="503" t="s">
        <v>286</v>
      </c>
      <c r="G535" s="503" t="s">
        <v>459</v>
      </c>
      <c r="H535" s="504" t="s">
        <v>357</v>
      </c>
      <c r="I535" s="505" t="s">
        <v>357</v>
      </c>
      <c r="J535" s="502" t="s">
        <v>296</v>
      </c>
      <c r="K535" s="506"/>
      <c r="L535" s="504" t="s">
        <v>359</v>
      </c>
      <c r="M535" s="504" t="s">
        <v>365</v>
      </c>
      <c r="N535" s="504" t="s">
        <v>359</v>
      </c>
      <c r="O535" s="504" t="s">
        <v>367</v>
      </c>
      <c r="P535" s="504" t="s">
        <v>287</v>
      </c>
      <c r="Q535" s="131"/>
    </row>
    <row r="536" spans="1:17" ht="13.5" thickBot="1">
      <c r="C536" s="507" t="s">
        <v>178</v>
      </c>
      <c r="D536" s="508" t="s">
        <v>179</v>
      </c>
      <c r="E536" s="507" t="s">
        <v>38</v>
      </c>
      <c r="F536" s="508" t="s">
        <v>179</v>
      </c>
      <c r="G536" s="508" t="s">
        <v>179</v>
      </c>
      <c r="H536" s="509" t="s">
        <v>299</v>
      </c>
      <c r="I536" s="510" t="s">
        <v>301</v>
      </c>
      <c r="J536" s="507" t="s">
        <v>390</v>
      </c>
      <c r="K536" s="511"/>
      <c r="L536" s="509" t="s">
        <v>288</v>
      </c>
      <c r="M536" s="509" t="s">
        <v>288</v>
      </c>
      <c r="N536" s="509" t="s">
        <v>468</v>
      </c>
      <c r="O536" s="509" t="s">
        <v>468</v>
      </c>
      <c r="P536" s="509" t="s">
        <v>468</v>
      </c>
      <c r="Q536" s="138"/>
    </row>
    <row r="537" spans="1:17">
      <c r="C537" s="512">
        <f>IF(D531= "","-",D531)</f>
        <v>2014</v>
      </c>
      <c r="D537" s="477">
        <f>+D530</f>
        <v>13274158.730000002</v>
      </c>
      <c r="E537" s="513">
        <f>+J534/12*(12-D532)</f>
        <v>58219.994429824575</v>
      </c>
      <c r="F537" s="556">
        <f t="shared" ref="F537:F596" si="48">+D537-E537</f>
        <v>13215938.735570177</v>
      </c>
      <c r="G537" s="477">
        <f t="shared" ref="G537:G596" si="49">+(D537+F537)/2</f>
        <v>13245048.732785091</v>
      </c>
      <c r="H537" s="514">
        <f>+J532*G537+E537</f>
        <v>1529595.5152618501</v>
      </c>
      <c r="I537" s="515">
        <f>+$J$533*G537+E537</f>
        <v>1529595.5152618501</v>
      </c>
      <c r="J537" s="516">
        <f t="shared" ref="J537:J596" si="50">+I537-H537</f>
        <v>0</v>
      </c>
      <c r="K537" s="516"/>
      <c r="L537" s="517">
        <v>0</v>
      </c>
      <c r="M537" s="557">
        <f t="shared" ref="M537:M596" si="51">IF(L537&lt;&gt;0,+H537-L537,0)</f>
        <v>0</v>
      </c>
      <c r="N537" s="517">
        <v>0</v>
      </c>
      <c r="O537" s="557">
        <f t="shared" ref="O537:O596" si="52">IF(N537&lt;&gt;0,+I537-N537,0)</f>
        <v>0</v>
      </c>
      <c r="P537" s="557">
        <f t="shared" ref="P537:P596" si="53">+O537-M537</f>
        <v>0</v>
      </c>
      <c r="Q537" s="479"/>
    </row>
    <row r="538" spans="1:17">
      <c r="C538" s="512">
        <f>IF(D531="","-",+C537+1)</f>
        <v>2015</v>
      </c>
      <c r="D538" s="477">
        <f t="shared" ref="D538:D596" si="54">F537</f>
        <v>13215938.735570177</v>
      </c>
      <c r="E538" s="519">
        <f>IF(D538&gt;$J$534,$J$534,D538)</f>
        <v>349319.96657894744</v>
      </c>
      <c r="F538" s="519">
        <f t="shared" si="48"/>
        <v>12866618.76899123</v>
      </c>
      <c r="G538" s="477">
        <f t="shared" si="49"/>
        <v>13041278.752280705</v>
      </c>
      <c r="H538" s="513">
        <f>+J532*G538+E538</f>
        <v>1798058.9409366339</v>
      </c>
      <c r="I538" s="515">
        <f t="shared" ref="I538:I596" si="55">+$J$533*G538+E538</f>
        <v>1798058.9409366339</v>
      </c>
      <c r="J538" s="516">
        <f t="shared" si="50"/>
        <v>0</v>
      </c>
      <c r="K538" s="516"/>
      <c r="L538" s="521">
        <v>248467</v>
      </c>
      <c r="M538" s="516">
        <f t="shared" si="51"/>
        <v>1549591.9409366339</v>
      </c>
      <c r="N538" s="521">
        <v>248467</v>
      </c>
      <c r="O538" s="516">
        <f t="shared" si="52"/>
        <v>1549591.9409366339</v>
      </c>
      <c r="P538" s="516">
        <f t="shared" si="53"/>
        <v>0</v>
      </c>
      <c r="Q538" s="479"/>
    </row>
    <row r="539" spans="1:17">
      <c r="C539" s="512">
        <f>IF(D531="","-",+C538+1)</f>
        <v>2016</v>
      </c>
      <c r="D539" s="477">
        <f t="shared" si="54"/>
        <v>12866618.76899123</v>
      </c>
      <c r="E539" s="519">
        <f t="shared" ref="E539:E596" si="56">IF(D539&gt;$J$534,$J$534,D539)</f>
        <v>349319.96657894744</v>
      </c>
      <c r="F539" s="519">
        <f t="shared" si="48"/>
        <v>12517298.802412283</v>
      </c>
      <c r="G539" s="477">
        <f t="shared" si="49"/>
        <v>12691958.785701755</v>
      </c>
      <c r="H539" s="513">
        <f>+J532*G539+E539</f>
        <v>1759253.4326949101</v>
      </c>
      <c r="I539" s="515">
        <f t="shared" si="55"/>
        <v>1759253.4326949101</v>
      </c>
      <c r="J539" s="516">
        <f t="shared" si="50"/>
        <v>0</v>
      </c>
      <c r="K539" s="516"/>
      <c r="L539" s="521">
        <v>562247</v>
      </c>
      <c r="M539" s="516">
        <f t="shared" si="51"/>
        <v>1197006.4326949101</v>
      </c>
      <c r="N539" s="521">
        <v>562247</v>
      </c>
      <c r="O539" s="516">
        <f t="shared" si="52"/>
        <v>1197006.4326949101</v>
      </c>
      <c r="P539" s="516">
        <f t="shared" si="53"/>
        <v>0</v>
      </c>
      <c r="Q539" s="479"/>
    </row>
    <row r="540" spans="1:17">
      <c r="C540" s="512">
        <f>IF(D531="","-",+C539+1)</f>
        <v>2017</v>
      </c>
      <c r="D540" s="477">
        <f t="shared" si="54"/>
        <v>12517298.802412283</v>
      </c>
      <c r="E540" s="519">
        <f t="shared" si="56"/>
        <v>349319.96657894744</v>
      </c>
      <c r="F540" s="519">
        <f t="shared" si="48"/>
        <v>12167978.835833335</v>
      </c>
      <c r="G540" s="477">
        <f t="shared" si="49"/>
        <v>12342638.81912281</v>
      </c>
      <c r="H540" s="513">
        <f>+J532*G540+E540</f>
        <v>1720447.9244531866</v>
      </c>
      <c r="I540" s="515">
        <f t="shared" si="55"/>
        <v>1720447.9244531866</v>
      </c>
      <c r="J540" s="516">
        <f t="shared" si="50"/>
        <v>0</v>
      </c>
      <c r="K540" s="516"/>
      <c r="L540" s="521">
        <v>1427903</v>
      </c>
      <c r="M540" s="516">
        <f t="shared" si="51"/>
        <v>292544.92445318657</v>
      </c>
      <c r="N540" s="521">
        <v>1427903</v>
      </c>
      <c r="O540" s="516">
        <f t="shared" si="52"/>
        <v>292544.92445318657</v>
      </c>
      <c r="P540" s="516">
        <f t="shared" si="53"/>
        <v>0</v>
      </c>
      <c r="Q540" s="479"/>
    </row>
    <row r="541" spans="1:17">
      <c r="C541" s="512">
        <f>IF(D531="","-",+C540+1)</f>
        <v>2018</v>
      </c>
      <c r="D541" s="477">
        <f t="shared" si="54"/>
        <v>12167978.835833335</v>
      </c>
      <c r="E541" s="519">
        <f t="shared" si="56"/>
        <v>349319.96657894744</v>
      </c>
      <c r="F541" s="519">
        <f t="shared" si="48"/>
        <v>11818658.869254388</v>
      </c>
      <c r="G541" s="477">
        <f t="shared" si="49"/>
        <v>11993318.852543861</v>
      </c>
      <c r="H541" s="513">
        <f>+J532*G541+E541</f>
        <v>1681642.4162114626</v>
      </c>
      <c r="I541" s="515">
        <f t="shared" si="55"/>
        <v>1681642.4162114626</v>
      </c>
      <c r="J541" s="516">
        <f t="shared" si="50"/>
        <v>0</v>
      </c>
      <c r="K541" s="516"/>
      <c r="L541" s="521">
        <v>1271398</v>
      </c>
      <c r="M541" s="516">
        <f t="shared" si="51"/>
        <v>410244.41621146258</v>
      </c>
      <c r="N541" s="521">
        <v>1271398</v>
      </c>
      <c r="O541" s="516">
        <f t="shared" si="52"/>
        <v>410244.41621146258</v>
      </c>
      <c r="P541" s="516">
        <f t="shared" si="53"/>
        <v>0</v>
      </c>
      <c r="Q541" s="479"/>
    </row>
    <row r="542" spans="1:17">
      <c r="C542" s="512">
        <f>IF(D531="","-",+C541+1)</f>
        <v>2019</v>
      </c>
      <c r="D542" s="477">
        <f t="shared" si="54"/>
        <v>11818658.869254388</v>
      </c>
      <c r="E542" s="519">
        <f t="shared" si="56"/>
        <v>349319.96657894744</v>
      </c>
      <c r="F542" s="519">
        <f t="shared" si="48"/>
        <v>11469338.902675441</v>
      </c>
      <c r="G542" s="477">
        <f t="shared" si="49"/>
        <v>11643998.885964915</v>
      </c>
      <c r="H542" s="513">
        <f>+J532*G542+E542</f>
        <v>1642836.9079697391</v>
      </c>
      <c r="I542" s="515">
        <f t="shared" si="55"/>
        <v>1642836.9079697391</v>
      </c>
      <c r="J542" s="516">
        <f t="shared" si="50"/>
        <v>0</v>
      </c>
      <c r="K542" s="516"/>
      <c r="L542" s="521">
        <v>1164195.9622976338</v>
      </c>
      <c r="M542" s="516">
        <f t="shared" si="51"/>
        <v>478640.9456721053</v>
      </c>
      <c r="N542" s="521">
        <v>1164195.9622976338</v>
      </c>
      <c r="O542" s="516">
        <f t="shared" si="52"/>
        <v>478640.9456721053</v>
      </c>
      <c r="P542" s="516">
        <f t="shared" si="53"/>
        <v>0</v>
      </c>
      <c r="Q542" s="479"/>
    </row>
    <row r="543" spans="1:17">
      <c r="C543" s="512">
        <f>IF(D531="","-",+C542+1)</f>
        <v>2020</v>
      </c>
      <c r="D543" s="477">
        <f t="shared" si="54"/>
        <v>11469338.902675441</v>
      </c>
      <c r="E543" s="519">
        <f t="shared" si="56"/>
        <v>349319.96657894744</v>
      </c>
      <c r="F543" s="519">
        <f t="shared" si="48"/>
        <v>11120018.936096493</v>
      </c>
      <c r="G543" s="477">
        <f t="shared" si="49"/>
        <v>11294678.919385966</v>
      </c>
      <c r="H543" s="513">
        <f>+J532*G543+E543</f>
        <v>1604031.3997280151</v>
      </c>
      <c r="I543" s="515">
        <f t="shared" si="55"/>
        <v>1604031.3997280151</v>
      </c>
      <c r="J543" s="516">
        <f t="shared" si="50"/>
        <v>0</v>
      </c>
      <c r="K543" s="516"/>
      <c r="L543" s="521">
        <v>1113450.666948139</v>
      </c>
      <c r="M543" s="516">
        <f t="shared" si="51"/>
        <v>490580.7327798761</v>
      </c>
      <c r="N543" s="521">
        <v>1113450.666948139</v>
      </c>
      <c r="O543" s="516">
        <f t="shared" si="52"/>
        <v>490580.7327798761</v>
      </c>
      <c r="P543" s="516">
        <f t="shared" si="53"/>
        <v>0</v>
      </c>
      <c r="Q543" s="479"/>
    </row>
    <row r="544" spans="1:17">
      <c r="C544" s="512">
        <f>IF(D531="","-",+C543+1)</f>
        <v>2021</v>
      </c>
      <c r="D544" s="477">
        <f t="shared" si="54"/>
        <v>11120018.936096493</v>
      </c>
      <c r="E544" s="519">
        <f t="shared" si="56"/>
        <v>349319.96657894744</v>
      </c>
      <c r="F544" s="519">
        <f t="shared" si="48"/>
        <v>10770698.969517546</v>
      </c>
      <c r="G544" s="477">
        <f t="shared" si="49"/>
        <v>10945358.95280702</v>
      </c>
      <c r="H544" s="513">
        <f>+J532*G544+E544</f>
        <v>1565225.8914862915</v>
      </c>
      <c r="I544" s="515">
        <f t="shared" si="55"/>
        <v>1565225.8914862915</v>
      </c>
      <c r="J544" s="516">
        <f t="shared" si="50"/>
        <v>0</v>
      </c>
      <c r="K544" s="516"/>
      <c r="L544" s="521">
        <v>1397055.7879787525</v>
      </c>
      <c r="M544" s="516">
        <f t="shared" si="51"/>
        <v>168170.10350753902</v>
      </c>
      <c r="N544" s="521">
        <v>1397055.7879787525</v>
      </c>
      <c r="O544" s="516">
        <f t="shared" si="52"/>
        <v>168170.10350753902</v>
      </c>
      <c r="P544" s="516">
        <f t="shared" si="53"/>
        <v>0</v>
      </c>
      <c r="Q544" s="479"/>
    </row>
    <row r="545" spans="3:17">
      <c r="C545" s="512">
        <f>IF(D531="","-",+C544+1)</f>
        <v>2022</v>
      </c>
      <c r="D545" s="477">
        <f t="shared" si="54"/>
        <v>10770698.969517546</v>
      </c>
      <c r="E545" s="519">
        <f t="shared" si="56"/>
        <v>349319.96657894744</v>
      </c>
      <c r="F545" s="519">
        <f t="shared" si="48"/>
        <v>10421379.002938598</v>
      </c>
      <c r="G545" s="477">
        <f t="shared" si="49"/>
        <v>10596038.986228071</v>
      </c>
      <c r="H545" s="513">
        <f>+J532*G545+E545</f>
        <v>1526420.3832445676</v>
      </c>
      <c r="I545" s="515">
        <f t="shared" si="55"/>
        <v>1526420.3832445676</v>
      </c>
      <c r="J545" s="516">
        <f t="shared" si="50"/>
        <v>0</v>
      </c>
      <c r="K545" s="516"/>
      <c r="L545" s="521">
        <v>1418586.3378005261</v>
      </c>
      <c r="M545" s="516">
        <f t="shared" si="51"/>
        <v>107834.04544404149</v>
      </c>
      <c r="N545" s="521">
        <v>1418586.3378005261</v>
      </c>
      <c r="O545" s="516">
        <f t="shared" si="52"/>
        <v>107834.04544404149</v>
      </c>
      <c r="P545" s="516">
        <f t="shared" si="53"/>
        <v>0</v>
      </c>
      <c r="Q545" s="479"/>
    </row>
    <row r="546" spans="3:17">
      <c r="C546" s="512">
        <f>IF(D531="","-",+C545+1)</f>
        <v>2023</v>
      </c>
      <c r="D546" s="477">
        <f t="shared" si="54"/>
        <v>10421379.002938598</v>
      </c>
      <c r="E546" s="519">
        <f t="shared" si="56"/>
        <v>349319.96657894744</v>
      </c>
      <c r="F546" s="519">
        <f t="shared" si="48"/>
        <v>10072059.036359651</v>
      </c>
      <c r="G546" s="477">
        <f t="shared" si="49"/>
        <v>10246719.019649126</v>
      </c>
      <c r="H546" s="513">
        <f>+J532*G546+E546</f>
        <v>1487614.875002844</v>
      </c>
      <c r="I546" s="515">
        <f t="shared" si="55"/>
        <v>1487614.875002844</v>
      </c>
      <c r="J546" s="516">
        <f t="shared" si="50"/>
        <v>0</v>
      </c>
      <c r="K546" s="516"/>
      <c r="L546" s="521">
        <v>1506354.3909731098</v>
      </c>
      <c r="M546" s="516">
        <f t="shared" si="51"/>
        <v>-18739.515970265726</v>
      </c>
      <c r="N546" s="521">
        <v>1506354.3909731098</v>
      </c>
      <c r="O546" s="516">
        <f t="shared" si="52"/>
        <v>-18739.515970265726</v>
      </c>
      <c r="P546" s="516">
        <f t="shared" si="53"/>
        <v>0</v>
      </c>
      <c r="Q546" s="479"/>
    </row>
    <row r="547" spans="3:17">
      <c r="C547" s="512">
        <f>IF(D531="","-",+C546+1)</f>
        <v>2024</v>
      </c>
      <c r="D547" s="477">
        <f t="shared" si="54"/>
        <v>10072059.036359651</v>
      </c>
      <c r="E547" s="519">
        <f t="shared" si="56"/>
        <v>349319.96657894744</v>
      </c>
      <c r="F547" s="519">
        <f t="shared" si="48"/>
        <v>9722739.0697807036</v>
      </c>
      <c r="G547" s="477">
        <f t="shared" si="49"/>
        <v>9897399.0530701764</v>
      </c>
      <c r="H547" s="513">
        <f>+J532*G547+E547</f>
        <v>1448809.36676112</v>
      </c>
      <c r="I547" s="515">
        <f t="shared" si="55"/>
        <v>1448809.36676112</v>
      </c>
      <c r="J547" s="516">
        <f t="shared" si="50"/>
        <v>0</v>
      </c>
      <c r="K547" s="516"/>
      <c r="L547" s="521">
        <v>1546017.2687414913</v>
      </c>
      <c r="M547" s="516">
        <f t="shared" si="51"/>
        <v>-97207.901980371214</v>
      </c>
      <c r="N547" s="521">
        <v>1546017.2687414913</v>
      </c>
      <c r="O547" s="516">
        <f t="shared" si="52"/>
        <v>-97207.901980371214</v>
      </c>
      <c r="P547" s="516">
        <f t="shared" si="53"/>
        <v>0</v>
      </c>
      <c r="Q547" s="479"/>
    </row>
    <row r="548" spans="3:17">
      <c r="C548" s="512">
        <f>IF(D531="","-",+C547+1)</f>
        <v>2025</v>
      </c>
      <c r="D548" s="477">
        <f t="shared" si="54"/>
        <v>9722739.0697807036</v>
      </c>
      <c r="E548" s="519">
        <f t="shared" si="56"/>
        <v>349319.96657894744</v>
      </c>
      <c r="F548" s="519">
        <f t="shared" si="48"/>
        <v>9373419.1032017563</v>
      </c>
      <c r="G548" s="477">
        <f t="shared" si="49"/>
        <v>9548079.0864912309</v>
      </c>
      <c r="H548" s="513">
        <f>+J532*G548+E548</f>
        <v>1410003.8585193965</v>
      </c>
      <c r="I548" s="515">
        <f t="shared" si="55"/>
        <v>1410003.8585193965</v>
      </c>
      <c r="J548" s="516">
        <f t="shared" si="50"/>
        <v>0</v>
      </c>
      <c r="K548" s="516"/>
      <c r="L548" s="521">
        <v>1476846.6762813053</v>
      </c>
      <c r="M548" s="516">
        <f t="shared" si="51"/>
        <v>-66842.817761908751</v>
      </c>
      <c r="N548" s="521">
        <v>1476846.6762813053</v>
      </c>
      <c r="O548" s="516">
        <f t="shared" si="52"/>
        <v>-66842.817761908751</v>
      </c>
      <c r="P548" s="516">
        <f t="shared" si="53"/>
        <v>0</v>
      </c>
      <c r="Q548" s="479"/>
    </row>
    <row r="549" spans="3:17">
      <c r="C549" s="512">
        <f>IF(D531="","-",+C548+1)</f>
        <v>2026</v>
      </c>
      <c r="D549" s="477">
        <f t="shared" si="54"/>
        <v>9373419.1032017563</v>
      </c>
      <c r="E549" s="519">
        <f t="shared" si="56"/>
        <v>349319.96657894744</v>
      </c>
      <c r="F549" s="519">
        <f t="shared" si="48"/>
        <v>9024099.1366228089</v>
      </c>
      <c r="G549" s="477">
        <f t="shared" si="49"/>
        <v>9198759.1199122816</v>
      </c>
      <c r="H549" s="513">
        <f>+J532*G549+E549</f>
        <v>1371198.3502776728</v>
      </c>
      <c r="I549" s="515">
        <f t="shared" si="55"/>
        <v>1371198.3502776728</v>
      </c>
      <c r="J549" s="516">
        <f t="shared" si="50"/>
        <v>0</v>
      </c>
      <c r="K549" s="516"/>
      <c r="L549" s="521"/>
      <c r="M549" s="516">
        <f t="shared" si="51"/>
        <v>0</v>
      </c>
      <c r="N549" s="521"/>
      <c r="O549" s="516">
        <f t="shared" si="52"/>
        <v>0</v>
      </c>
      <c r="P549" s="516">
        <f t="shared" si="53"/>
        <v>0</v>
      </c>
      <c r="Q549" s="479"/>
    </row>
    <row r="550" spans="3:17">
      <c r="C550" s="512">
        <f>IF(D531="","-",+C549+1)</f>
        <v>2027</v>
      </c>
      <c r="D550" s="477">
        <f t="shared" si="54"/>
        <v>9024099.1366228089</v>
      </c>
      <c r="E550" s="519">
        <f t="shared" si="56"/>
        <v>349319.96657894744</v>
      </c>
      <c r="F550" s="519">
        <f t="shared" si="48"/>
        <v>8674779.1700438615</v>
      </c>
      <c r="G550" s="477">
        <f t="shared" si="49"/>
        <v>8849439.1533333361</v>
      </c>
      <c r="H550" s="513">
        <f>+J532*G550+E550</f>
        <v>1332392.8420359492</v>
      </c>
      <c r="I550" s="515">
        <f t="shared" si="55"/>
        <v>1332392.8420359492</v>
      </c>
      <c r="J550" s="516">
        <f t="shared" si="50"/>
        <v>0</v>
      </c>
      <c r="K550" s="516"/>
      <c r="L550" s="521"/>
      <c r="M550" s="516">
        <f t="shared" si="51"/>
        <v>0</v>
      </c>
      <c r="N550" s="521"/>
      <c r="O550" s="516">
        <f t="shared" si="52"/>
        <v>0</v>
      </c>
      <c r="P550" s="516">
        <f t="shared" si="53"/>
        <v>0</v>
      </c>
      <c r="Q550" s="479"/>
    </row>
    <row r="551" spans="3:17">
      <c r="C551" s="512">
        <f>IF(D531="","-",+C550+1)</f>
        <v>2028</v>
      </c>
      <c r="D551" s="477">
        <f t="shared" si="54"/>
        <v>8674779.1700438615</v>
      </c>
      <c r="E551" s="519">
        <f t="shared" si="56"/>
        <v>349319.96657894744</v>
      </c>
      <c r="F551" s="519">
        <f t="shared" si="48"/>
        <v>8325459.2034649141</v>
      </c>
      <c r="G551" s="477">
        <f t="shared" si="49"/>
        <v>8500119.1867543869</v>
      </c>
      <c r="H551" s="513">
        <f>+J532*G551+E551</f>
        <v>1293587.3337942252</v>
      </c>
      <c r="I551" s="515">
        <f t="shared" si="55"/>
        <v>1293587.3337942252</v>
      </c>
      <c r="J551" s="516">
        <f t="shared" si="50"/>
        <v>0</v>
      </c>
      <c r="K551" s="516"/>
      <c r="L551" s="521"/>
      <c r="M551" s="516">
        <f t="shared" si="51"/>
        <v>0</v>
      </c>
      <c r="N551" s="521"/>
      <c r="O551" s="516">
        <f t="shared" si="52"/>
        <v>0</v>
      </c>
      <c r="P551" s="516">
        <f t="shared" si="53"/>
        <v>0</v>
      </c>
      <c r="Q551" s="479"/>
    </row>
    <row r="552" spans="3:17">
      <c r="C552" s="512">
        <f>IF(D531="","-",+C551+1)</f>
        <v>2029</v>
      </c>
      <c r="D552" s="477">
        <f t="shared" si="54"/>
        <v>8325459.2034649141</v>
      </c>
      <c r="E552" s="519">
        <f t="shared" si="56"/>
        <v>349319.96657894744</v>
      </c>
      <c r="F552" s="519">
        <f t="shared" si="48"/>
        <v>7976139.2368859667</v>
      </c>
      <c r="G552" s="477">
        <f t="shared" si="49"/>
        <v>8150799.2201754404</v>
      </c>
      <c r="H552" s="513">
        <f>+J532*G552+E552</f>
        <v>1254781.8255525015</v>
      </c>
      <c r="I552" s="515">
        <f t="shared" si="55"/>
        <v>1254781.8255525015</v>
      </c>
      <c r="J552" s="516">
        <f t="shared" si="50"/>
        <v>0</v>
      </c>
      <c r="K552" s="516"/>
      <c r="L552" s="521"/>
      <c r="M552" s="516">
        <f t="shared" si="51"/>
        <v>0</v>
      </c>
      <c r="N552" s="521"/>
      <c r="O552" s="516">
        <f t="shared" si="52"/>
        <v>0</v>
      </c>
      <c r="P552" s="516">
        <f t="shared" si="53"/>
        <v>0</v>
      </c>
      <c r="Q552" s="479"/>
    </row>
    <row r="553" spans="3:17">
      <c r="C553" s="512">
        <f>IF(D531="","-",+C552+1)</f>
        <v>2030</v>
      </c>
      <c r="D553" s="477">
        <f t="shared" si="54"/>
        <v>7976139.2368859667</v>
      </c>
      <c r="E553" s="519">
        <f t="shared" si="56"/>
        <v>349319.96657894744</v>
      </c>
      <c r="F553" s="519">
        <f t="shared" si="48"/>
        <v>7626819.2703070194</v>
      </c>
      <c r="G553" s="477">
        <f t="shared" si="49"/>
        <v>7801479.253596493</v>
      </c>
      <c r="H553" s="513">
        <f>+J532*G553+E553</f>
        <v>1215976.3173107777</v>
      </c>
      <c r="I553" s="515">
        <f t="shared" si="55"/>
        <v>1215976.3173107777</v>
      </c>
      <c r="J553" s="516">
        <f t="shared" si="50"/>
        <v>0</v>
      </c>
      <c r="K553" s="516"/>
      <c r="L553" s="521"/>
      <c r="M553" s="516">
        <f t="shared" si="51"/>
        <v>0</v>
      </c>
      <c r="N553" s="521"/>
      <c r="O553" s="516">
        <f t="shared" si="52"/>
        <v>0</v>
      </c>
      <c r="P553" s="516">
        <f t="shared" si="53"/>
        <v>0</v>
      </c>
      <c r="Q553" s="479"/>
    </row>
    <row r="554" spans="3:17">
      <c r="C554" s="512">
        <f>IF(D531="","-",+C553+1)</f>
        <v>2031</v>
      </c>
      <c r="D554" s="477">
        <f t="shared" si="54"/>
        <v>7626819.2703070194</v>
      </c>
      <c r="E554" s="519">
        <f t="shared" si="56"/>
        <v>349319.96657894744</v>
      </c>
      <c r="F554" s="519">
        <f t="shared" si="48"/>
        <v>7277499.303728072</v>
      </c>
      <c r="G554" s="477">
        <f t="shared" si="49"/>
        <v>7452159.2870175457</v>
      </c>
      <c r="H554" s="513">
        <f>+J532*G554+E554</f>
        <v>1177170.809069054</v>
      </c>
      <c r="I554" s="515">
        <f t="shared" si="55"/>
        <v>1177170.809069054</v>
      </c>
      <c r="J554" s="516">
        <f t="shared" si="50"/>
        <v>0</v>
      </c>
      <c r="K554" s="516"/>
      <c r="L554" s="521"/>
      <c r="M554" s="516">
        <f t="shared" si="51"/>
        <v>0</v>
      </c>
      <c r="N554" s="521"/>
      <c r="O554" s="516">
        <f t="shared" si="52"/>
        <v>0</v>
      </c>
      <c r="P554" s="516">
        <f t="shared" si="53"/>
        <v>0</v>
      </c>
      <c r="Q554" s="479"/>
    </row>
    <row r="555" spans="3:17">
      <c r="C555" s="512">
        <f>IF(D531="","-",+C554+1)</f>
        <v>2032</v>
      </c>
      <c r="D555" s="477">
        <f t="shared" si="54"/>
        <v>7277499.303728072</v>
      </c>
      <c r="E555" s="519">
        <f t="shared" si="56"/>
        <v>349319.96657894744</v>
      </c>
      <c r="F555" s="519">
        <f t="shared" si="48"/>
        <v>6928179.3371491246</v>
      </c>
      <c r="G555" s="477">
        <f t="shared" si="49"/>
        <v>7102839.3204385983</v>
      </c>
      <c r="H555" s="513">
        <f>+J532*G555+E555</f>
        <v>1138365.3008273304</v>
      </c>
      <c r="I555" s="515">
        <f t="shared" si="55"/>
        <v>1138365.3008273304</v>
      </c>
      <c r="J555" s="516">
        <f t="shared" si="50"/>
        <v>0</v>
      </c>
      <c r="K555" s="516"/>
      <c r="L555" s="521"/>
      <c r="M555" s="516">
        <f t="shared" si="51"/>
        <v>0</v>
      </c>
      <c r="N555" s="521"/>
      <c r="O555" s="516">
        <f t="shared" si="52"/>
        <v>0</v>
      </c>
      <c r="P555" s="516">
        <f t="shared" si="53"/>
        <v>0</v>
      </c>
      <c r="Q555" s="479"/>
    </row>
    <row r="556" spans="3:17">
      <c r="C556" s="512">
        <f>IF(D531="","-",+C555+1)</f>
        <v>2033</v>
      </c>
      <c r="D556" s="477">
        <f t="shared" si="54"/>
        <v>6928179.3371491246</v>
      </c>
      <c r="E556" s="519">
        <f t="shared" si="56"/>
        <v>349319.96657894744</v>
      </c>
      <c r="F556" s="519">
        <f t="shared" si="48"/>
        <v>6578859.3705701772</v>
      </c>
      <c r="G556" s="477">
        <f t="shared" si="49"/>
        <v>6753519.3538596509</v>
      </c>
      <c r="H556" s="513">
        <f>+J532*G556+E556</f>
        <v>1099559.7925856067</v>
      </c>
      <c r="I556" s="515">
        <f t="shared" si="55"/>
        <v>1099559.7925856067</v>
      </c>
      <c r="J556" s="516">
        <f t="shared" si="50"/>
        <v>0</v>
      </c>
      <c r="K556" s="516"/>
      <c r="L556" s="521"/>
      <c r="M556" s="516">
        <f t="shared" si="51"/>
        <v>0</v>
      </c>
      <c r="N556" s="521"/>
      <c r="O556" s="516">
        <f t="shared" si="52"/>
        <v>0</v>
      </c>
      <c r="P556" s="516">
        <f t="shared" si="53"/>
        <v>0</v>
      </c>
      <c r="Q556" s="479"/>
    </row>
    <row r="557" spans="3:17">
      <c r="C557" s="512">
        <f>IF(D531="","-",+C556+1)</f>
        <v>2034</v>
      </c>
      <c r="D557" s="477">
        <f t="shared" si="54"/>
        <v>6578859.3705701772</v>
      </c>
      <c r="E557" s="519">
        <f t="shared" si="56"/>
        <v>349319.96657894744</v>
      </c>
      <c r="F557" s="519">
        <f t="shared" si="48"/>
        <v>6229539.4039912298</v>
      </c>
      <c r="G557" s="477">
        <f t="shared" si="49"/>
        <v>6404199.3872807035</v>
      </c>
      <c r="H557" s="513">
        <f>+J532*G557+E557</f>
        <v>1060754.2843438829</v>
      </c>
      <c r="I557" s="515">
        <f t="shared" si="55"/>
        <v>1060754.2843438829</v>
      </c>
      <c r="J557" s="516">
        <f t="shared" si="50"/>
        <v>0</v>
      </c>
      <c r="K557" s="516"/>
      <c r="L557" s="521"/>
      <c r="M557" s="516">
        <f t="shared" si="51"/>
        <v>0</v>
      </c>
      <c r="N557" s="521"/>
      <c r="O557" s="516">
        <f t="shared" si="52"/>
        <v>0</v>
      </c>
      <c r="P557" s="516">
        <f t="shared" si="53"/>
        <v>0</v>
      </c>
      <c r="Q557" s="479"/>
    </row>
    <row r="558" spans="3:17">
      <c r="C558" s="512">
        <f>IF(D531="","-",+C557+1)</f>
        <v>2035</v>
      </c>
      <c r="D558" s="477">
        <f t="shared" si="54"/>
        <v>6229539.4039912298</v>
      </c>
      <c r="E558" s="519">
        <f t="shared" si="56"/>
        <v>349319.96657894744</v>
      </c>
      <c r="F558" s="519">
        <f t="shared" si="48"/>
        <v>5880219.4374122825</v>
      </c>
      <c r="G558" s="477">
        <f t="shared" si="49"/>
        <v>6054879.4207017561</v>
      </c>
      <c r="H558" s="513">
        <f>+J532*G558+E558</f>
        <v>1021948.7761021592</v>
      </c>
      <c r="I558" s="515">
        <f t="shared" si="55"/>
        <v>1021948.7761021592</v>
      </c>
      <c r="J558" s="516">
        <f t="shared" si="50"/>
        <v>0</v>
      </c>
      <c r="K558" s="516"/>
      <c r="L558" s="521"/>
      <c r="M558" s="516">
        <f t="shared" si="51"/>
        <v>0</v>
      </c>
      <c r="N558" s="521"/>
      <c r="O558" s="516">
        <f t="shared" si="52"/>
        <v>0</v>
      </c>
      <c r="P558" s="516">
        <f t="shared" si="53"/>
        <v>0</v>
      </c>
      <c r="Q558" s="479"/>
    </row>
    <row r="559" spans="3:17">
      <c r="C559" s="512">
        <f>IF(D531="","-",+C558+1)</f>
        <v>2036</v>
      </c>
      <c r="D559" s="477">
        <f t="shared" si="54"/>
        <v>5880219.4374122825</v>
      </c>
      <c r="E559" s="519">
        <f t="shared" si="56"/>
        <v>349319.96657894744</v>
      </c>
      <c r="F559" s="519">
        <f t="shared" si="48"/>
        <v>5530899.4708333351</v>
      </c>
      <c r="G559" s="477">
        <f t="shared" si="49"/>
        <v>5705559.4541228088</v>
      </c>
      <c r="H559" s="513">
        <f>+J532*G559+E559</f>
        <v>983143.26786043542</v>
      </c>
      <c r="I559" s="515">
        <f t="shared" si="55"/>
        <v>983143.26786043542</v>
      </c>
      <c r="J559" s="516">
        <f t="shared" si="50"/>
        <v>0</v>
      </c>
      <c r="K559" s="516"/>
      <c r="L559" s="521"/>
      <c r="M559" s="516">
        <f t="shared" si="51"/>
        <v>0</v>
      </c>
      <c r="N559" s="521"/>
      <c r="O559" s="516">
        <f t="shared" si="52"/>
        <v>0</v>
      </c>
      <c r="P559" s="516">
        <f t="shared" si="53"/>
        <v>0</v>
      </c>
      <c r="Q559" s="479"/>
    </row>
    <row r="560" spans="3:17">
      <c r="C560" s="512">
        <f>IF(D531="","-",+C559+1)</f>
        <v>2037</v>
      </c>
      <c r="D560" s="477">
        <f t="shared" si="54"/>
        <v>5530899.4708333351</v>
      </c>
      <c r="E560" s="519">
        <f t="shared" si="56"/>
        <v>349319.96657894744</v>
      </c>
      <c r="F560" s="519">
        <f t="shared" si="48"/>
        <v>5181579.5042543877</v>
      </c>
      <c r="G560" s="477">
        <f t="shared" si="49"/>
        <v>5356239.4875438614</v>
      </c>
      <c r="H560" s="513">
        <f>+J532*G560+E560</f>
        <v>944337.75961871166</v>
      </c>
      <c r="I560" s="515">
        <f t="shared" si="55"/>
        <v>944337.75961871166</v>
      </c>
      <c r="J560" s="516">
        <f t="shared" si="50"/>
        <v>0</v>
      </c>
      <c r="K560" s="516"/>
      <c r="L560" s="521"/>
      <c r="M560" s="516">
        <f t="shared" si="51"/>
        <v>0</v>
      </c>
      <c r="N560" s="521"/>
      <c r="O560" s="516">
        <f t="shared" si="52"/>
        <v>0</v>
      </c>
      <c r="P560" s="516">
        <f t="shared" si="53"/>
        <v>0</v>
      </c>
      <c r="Q560" s="479"/>
    </row>
    <row r="561" spans="3:17">
      <c r="C561" s="512">
        <f>IF(D531="","-",+C560+1)</f>
        <v>2038</v>
      </c>
      <c r="D561" s="477">
        <f t="shared" si="54"/>
        <v>5181579.5042543877</v>
      </c>
      <c r="E561" s="519">
        <f t="shared" si="56"/>
        <v>349319.96657894744</v>
      </c>
      <c r="F561" s="519">
        <f t="shared" si="48"/>
        <v>4832259.5376754403</v>
      </c>
      <c r="G561" s="477">
        <f t="shared" si="49"/>
        <v>5006919.520964914</v>
      </c>
      <c r="H561" s="513">
        <f>+J532*G561+E561</f>
        <v>905532.2513769879</v>
      </c>
      <c r="I561" s="515">
        <f t="shared" si="55"/>
        <v>905532.2513769879</v>
      </c>
      <c r="J561" s="516">
        <f t="shared" si="50"/>
        <v>0</v>
      </c>
      <c r="K561" s="516"/>
      <c r="L561" s="521"/>
      <c r="M561" s="516">
        <f t="shared" si="51"/>
        <v>0</v>
      </c>
      <c r="N561" s="521"/>
      <c r="O561" s="516">
        <f t="shared" si="52"/>
        <v>0</v>
      </c>
      <c r="P561" s="516">
        <f t="shared" si="53"/>
        <v>0</v>
      </c>
      <c r="Q561" s="479"/>
    </row>
    <row r="562" spans="3:17">
      <c r="C562" s="512">
        <f>IF(D531="","-",+C561+1)</f>
        <v>2039</v>
      </c>
      <c r="D562" s="477">
        <f t="shared" si="54"/>
        <v>4832259.5376754403</v>
      </c>
      <c r="E562" s="519">
        <f t="shared" si="56"/>
        <v>349319.96657894744</v>
      </c>
      <c r="F562" s="519">
        <f t="shared" si="48"/>
        <v>4482939.5710964929</v>
      </c>
      <c r="G562" s="477">
        <f t="shared" si="49"/>
        <v>4657599.5543859666</v>
      </c>
      <c r="H562" s="513">
        <f>+J532*G562+E562</f>
        <v>866726.74313526414</v>
      </c>
      <c r="I562" s="515">
        <f t="shared" si="55"/>
        <v>866726.74313526414</v>
      </c>
      <c r="J562" s="516">
        <f t="shared" si="50"/>
        <v>0</v>
      </c>
      <c r="K562" s="516"/>
      <c r="L562" s="521"/>
      <c r="M562" s="516">
        <f t="shared" si="51"/>
        <v>0</v>
      </c>
      <c r="N562" s="521"/>
      <c r="O562" s="516">
        <f t="shared" si="52"/>
        <v>0</v>
      </c>
      <c r="P562" s="516">
        <f t="shared" si="53"/>
        <v>0</v>
      </c>
      <c r="Q562" s="479"/>
    </row>
    <row r="563" spans="3:17">
      <c r="C563" s="512">
        <f>IF(D531="","-",+C562+1)</f>
        <v>2040</v>
      </c>
      <c r="D563" s="477">
        <f t="shared" si="54"/>
        <v>4482939.5710964929</v>
      </c>
      <c r="E563" s="519">
        <f t="shared" si="56"/>
        <v>349319.96657894744</v>
      </c>
      <c r="F563" s="519">
        <f t="shared" si="48"/>
        <v>4133619.6045175456</v>
      </c>
      <c r="G563" s="477">
        <f t="shared" si="49"/>
        <v>4308279.5878070192</v>
      </c>
      <c r="H563" s="513">
        <f>+J532*G563+E563</f>
        <v>827921.23489354039</v>
      </c>
      <c r="I563" s="515">
        <f t="shared" si="55"/>
        <v>827921.23489354039</v>
      </c>
      <c r="J563" s="516">
        <f t="shared" si="50"/>
        <v>0</v>
      </c>
      <c r="K563" s="516"/>
      <c r="L563" s="521"/>
      <c r="M563" s="516">
        <f t="shared" si="51"/>
        <v>0</v>
      </c>
      <c r="N563" s="521"/>
      <c r="O563" s="516">
        <f t="shared" si="52"/>
        <v>0</v>
      </c>
      <c r="P563" s="516">
        <f t="shared" si="53"/>
        <v>0</v>
      </c>
      <c r="Q563" s="479"/>
    </row>
    <row r="564" spans="3:17">
      <c r="C564" s="512">
        <f>IF(D531="","-",+C563+1)</f>
        <v>2041</v>
      </c>
      <c r="D564" s="477">
        <f t="shared" si="54"/>
        <v>4133619.6045175456</v>
      </c>
      <c r="E564" s="519">
        <f t="shared" si="56"/>
        <v>349319.96657894744</v>
      </c>
      <c r="F564" s="519">
        <f t="shared" si="48"/>
        <v>3784299.6379385982</v>
      </c>
      <c r="G564" s="477">
        <f t="shared" si="49"/>
        <v>3958959.6212280719</v>
      </c>
      <c r="H564" s="513">
        <f>+J532*G564+E564</f>
        <v>789115.72665181663</v>
      </c>
      <c r="I564" s="515">
        <f t="shared" si="55"/>
        <v>789115.72665181663</v>
      </c>
      <c r="J564" s="516">
        <f t="shared" si="50"/>
        <v>0</v>
      </c>
      <c r="K564" s="516"/>
      <c r="L564" s="521"/>
      <c r="M564" s="516">
        <f t="shared" si="51"/>
        <v>0</v>
      </c>
      <c r="N564" s="521"/>
      <c r="O564" s="516">
        <f t="shared" si="52"/>
        <v>0</v>
      </c>
      <c r="P564" s="516">
        <f t="shared" si="53"/>
        <v>0</v>
      </c>
      <c r="Q564" s="479"/>
    </row>
    <row r="565" spans="3:17">
      <c r="C565" s="512">
        <f>IF(D531="","-",+C564+1)</f>
        <v>2042</v>
      </c>
      <c r="D565" s="477">
        <f t="shared" si="54"/>
        <v>3784299.6379385982</v>
      </c>
      <c r="E565" s="519">
        <f t="shared" si="56"/>
        <v>349319.96657894744</v>
      </c>
      <c r="F565" s="519">
        <f t="shared" si="48"/>
        <v>3434979.6713596508</v>
      </c>
      <c r="G565" s="477">
        <f t="shared" si="49"/>
        <v>3609639.6546491245</v>
      </c>
      <c r="H565" s="513">
        <f>+J532*G565+E565</f>
        <v>750310.21841009287</v>
      </c>
      <c r="I565" s="515">
        <f t="shared" si="55"/>
        <v>750310.21841009287</v>
      </c>
      <c r="J565" s="516">
        <f t="shared" si="50"/>
        <v>0</v>
      </c>
      <c r="K565" s="516"/>
      <c r="L565" s="521"/>
      <c r="M565" s="516">
        <f t="shared" si="51"/>
        <v>0</v>
      </c>
      <c r="N565" s="521"/>
      <c r="O565" s="516">
        <f t="shared" si="52"/>
        <v>0</v>
      </c>
      <c r="P565" s="516">
        <f t="shared" si="53"/>
        <v>0</v>
      </c>
      <c r="Q565" s="479"/>
    </row>
    <row r="566" spans="3:17">
      <c r="C566" s="512">
        <f>IF(D531="","-",+C565+1)</f>
        <v>2043</v>
      </c>
      <c r="D566" s="477">
        <f t="shared" si="54"/>
        <v>3434979.6713596508</v>
      </c>
      <c r="E566" s="519">
        <f t="shared" si="56"/>
        <v>349319.96657894744</v>
      </c>
      <c r="F566" s="519">
        <f t="shared" si="48"/>
        <v>3085659.7047807034</v>
      </c>
      <c r="G566" s="477">
        <f t="shared" si="49"/>
        <v>3260319.6880701771</v>
      </c>
      <c r="H566" s="513">
        <f>+J532*G566+E566</f>
        <v>711504.71016836911</v>
      </c>
      <c r="I566" s="515">
        <f t="shared" si="55"/>
        <v>711504.71016836911</v>
      </c>
      <c r="J566" s="516">
        <f t="shared" si="50"/>
        <v>0</v>
      </c>
      <c r="K566" s="516"/>
      <c r="L566" s="521"/>
      <c r="M566" s="516">
        <f t="shared" si="51"/>
        <v>0</v>
      </c>
      <c r="N566" s="521"/>
      <c r="O566" s="516">
        <f t="shared" si="52"/>
        <v>0</v>
      </c>
      <c r="P566" s="516">
        <f t="shared" si="53"/>
        <v>0</v>
      </c>
      <c r="Q566" s="479"/>
    </row>
    <row r="567" spans="3:17">
      <c r="C567" s="512">
        <f>IF(D531="","-",+C566+1)</f>
        <v>2044</v>
      </c>
      <c r="D567" s="477">
        <f t="shared" si="54"/>
        <v>3085659.7047807034</v>
      </c>
      <c r="E567" s="519">
        <f t="shared" si="56"/>
        <v>349319.96657894744</v>
      </c>
      <c r="F567" s="519">
        <f t="shared" si="48"/>
        <v>2736339.738201756</v>
      </c>
      <c r="G567" s="477">
        <f t="shared" si="49"/>
        <v>2910999.7214912297</v>
      </c>
      <c r="H567" s="513">
        <f>+J532*G567+E567</f>
        <v>672699.20192664547</v>
      </c>
      <c r="I567" s="515">
        <f t="shared" si="55"/>
        <v>672699.20192664547</v>
      </c>
      <c r="J567" s="516">
        <f t="shared" si="50"/>
        <v>0</v>
      </c>
      <c r="K567" s="516"/>
      <c r="L567" s="521"/>
      <c r="M567" s="516">
        <f t="shared" si="51"/>
        <v>0</v>
      </c>
      <c r="N567" s="521"/>
      <c r="O567" s="516">
        <f t="shared" si="52"/>
        <v>0</v>
      </c>
      <c r="P567" s="516">
        <f t="shared" si="53"/>
        <v>0</v>
      </c>
      <c r="Q567" s="479"/>
    </row>
    <row r="568" spans="3:17">
      <c r="C568" s="512">
        <f>IF(D531="","-",+C567+1)</f>
        <v>2045</v>
      </c>
      <c r="D568" s="477">
        <f t="shared" si="54"/>
        <v>2736339.738201756</v>
      </c>
      <c r="E568" s="519">
        <f t="shared" si="56"/>
        <v>349319.96657894744</v>
      </c>
      <c r="F568" s="519">
        <f t="shared" si="48"/>
        <v>2387019.7716228087</v>
      </c>
      <c r="G568" s="477">
        <f t="shared" si="49"/>
        <v>2561679.7549122823</v>
      </c>
      <c r="H568" s="513">
        <f>+J532*G568+E568</f>
        <v>633893.69368492172</v>
      </c>
      <c r="I568" s="515">
        <f t="shared" si="55"/>
        <v>633893.69368492172</v>
      </c>
      <c r="J568" s="516">
        <f t="shared" si="50"/>
        <v>0</v>
      </c>
      <c r="K568" s="516"/>
      <c r="L568" s="521"/>
      <c r="M568" s="516">
        <f t="shared" si="51"/>
        <v>0</v>
      </c>
      <c r="N568" s="521"/>
      <c r="O568" s="516">
        <f t="shared" si="52"/>
        <v>0</v>
      </c>
      <c r="P568" s="516">
        <f t="shared" si="53"/>
        <v>0</v>
      </c>
      <c r="Q568" s="479"/>
    </row>
    <row r="569" spans="3:17">
      <c r="C569" s="512">
        <f>IF(D531="","-",+C568+1)</f>
        <v>2046</v>
      </c>
      <c r="D569" s="477">
        <f t="shared" si="54"/>
        <v>2387019.7716228087</v>
      </c>
      <c r="E569" s="519">
        <f t="shared" si="56"/>
        <v>349319.96657894744</v>
      </c>
      <c r="F569" s="519">
        <f t="shared" si="48"/>
        <v>2037699.8050438613</v>
      </c>
      <c r="G569" s="477">
        <f t="shared" si="49"/>
        <v>2212359.788333335</v>
      </c>
      <c r="H569" s="513">
        <f>+J532*G569+E569</f>
        <v>595088.18544319796</v>
      </c>
      <c r="I569" s="515">
        <f t="shared" si="55"/>
        <v>595088.18544319796</v>
      </c>
      <c r="J569" s="516">
        <f t="shared" si="50"/>
        <v>0</v>
      </c>
      <c r="K569" s="516"/>
      <c r="L569" s="521"/>
      <c r="M569" s="516">
        <f t="shared" si="51"/>
        <v>0</v>
      </c>
      <c r="N569" s="521"/>
      <c r="O569" s="516">
        <f t="shared" si="52"/>
        <v>0</v>
      </c>
      <c r="P569" s="516">
        <f t="shared" si="53"/>
        <v>0</v>
      </c>
      <c r="Q569" s="479"/>
    </row>
    <row r="570" spans="3:17">
      <c r="C570" s="512">
        <f>IF(D531="","-",+C569+1)</f>
        <v>2047</v>
      </c>
      <c r="D570" s="477">
        <f t="shared" si="54"/>
        <v>2037699.8050438613</v>
      </c>
      <c r="E570" s="519">
        <f t="shared" si="56"/>
        <v>349319.96657894744</v>
      </c>
      <c r="F570" s="519">
        <f t="shared" si="48"/>
        <v>1688379.8384649139</v>
      </c>
      <c r="G570" s="477">
        <f t="shared" si="49"/>
        <v>1863039.8217543876</v>
      </c>
      <c r="H570" s="513">
        <f>+J532*G570+E570</f>
        <v>556282.6772014742</v>
      </c>
      <c r="I570" s="515">
        <f t="shared" si="55"/>
        <v>556282.6772014742</v>
      </c>
      <c r="J570" s="516">
        <f t="shared" si="50"/>
        <v>0</v>
      </c>
      <c r="K570" s="516"/>
      <c r="L570" s="521"/>
      <c r="M570" s="516">
        <f t="shared" si="51"/>
        <v>0</v>
      </c>
      <c r="N570" s="521"/>
      <c r="O570" s="516">
        <f t="shared" si="52"/>
        <v>0</v>
      </c>
      <c r="P570" s="516">
        <f t="shared" si="53"/>
        <v>0</v>
      </c>
      <c r="Q570" s="479"/>
    </row>
    <row r="571" spans="3:17">
      <c r="C571" s="512">
        <f>IF(D531="","-",+C570+1)</f>
        <v>2048</v>
      </c>
      <c r="D571" s="477">
        <f t="shared" si="54"/>
        <v>1688379.8384649139</v>
      </c>
      <c r="E571" s="519">
        <f t="shared" si="56"/>
        <v>349319.96657894744</v>
      </c>
      <c r="F571" s="519">
        <f t="shared" si="48"/>
        <v>1339059.8718859665</v>
      </c>
      <c r="G571" s="477">
        <f t="shared" si="49"/>
        <v>1513719.8551754402</v>
      </c>
      <c r="H571" s="513">
        <f>+J532*G571+E571</f>
        <v>517477.16895975044</v>
      </c>
      <c r="I571" s="515">
        <f t="shared" si="55"/>
        <v>517477.16895975044</v>
      </c>
      <c r="J571" s="516">
        <f t="shared" si="50"/>
        <v>0</v>
      </c>
      <c r="K571" s="516"/>
      <c r="L571" s="521"/>
      <c r="M571" s="516">
        <f t="shared" si="51"/>
        <v>0</v>
      </c>
      <c r="N571" s="521"/>
      <c r="O571" s="516">
        <f t="shared" si="52"/>
        <v>0</v>
      </c>
      <c r="P571" s="516">
        <f t="shared" si="53"/>
        <v>0</v>
      </c>
      <c r="Q571" s="479"/>
    </row>
    <row r="572" spans="3:17">
      <c r="C572" s="512">
        <f>IF(D531="","-",+C571+1)</f>
        <v>2049</v>
      </c>
      <c r="D572" s="477">
        <f t="shared" si="54"/>
        <v>1339059.8718859665</v>
      </c>
      <c r="E572" s="519">
        <f t="shared" si="56"/>
        <v>349319.96657894744</v>
      </c>
      <c r="F572" s="519">
        <f t="shared" si="48"/>
        <v>989739.90530701913</v>
      </c>
      <c r="G572" s="477">
        <f t="shared" si="49"/>
        <v>1164399.8885964928</v>
      </c>
      <c r="H572" s="513">
        <f>+J532*G572+E572</f>
        <v>478671.66071802675</v>
      </c>
      <c r="I572" s="515">
        <f t="shared" si="55"/>
        <v>478671.66071802675</v>
      </c>
      <c r="J572" s="516">
        <f t="shared" si="50"/>
        <v>0</v>
      </c>
      <c r="K572" s="516"/>
      <c r="L572" s="521"/>
      <c r="M572" s="516">
        <f t="shared" si="51"/>
        <v>0</v>
      </c>
      <c r="N572" s="521"/>
      <c r="O572" s="516">
        <f t="shared" si="52"/>
        <v>0</v>
      </c>
      <c r="P572" s="516">
        <f t="shared" si="53"/>
        <v>0</v>
      </c>
      <c r="Q572" s="479"/>
    </row>
    <row r="573" spans="3:17">
      <c r="C573" s="512">
        <f>IF(D531="","-",+C572+1)</f>
        <v>2050</v>
      </c>
      <c r="D573" s="477">
        <f t="shared" si="54"/>
        <v>989739.90530701913</v>
      </c>
      <c r="E573" s="519">
        <f t="shared" si="56"/>
        <v>349319.96657894744</v>
      </c>
      <c r="F573" s="519">
        <f t="shared" si="48"/>
        <v>640419.93872807175</v>
      </c>
      <c r="G573" s="477">
        <f t="shared" si="49"/>
        <v>815079.92201754544</v>
      </c>
      <c r="H573" s="513">
        <f>+J532*G573+E573</f>
        <v>439866.15247630299</v>
      </c>
      <c r="I573" s="515">
        <f t="shared" si="55"/>
        <v>439866.15247630299</v>
      </c>
      <c r="J573" s="516">
        <f t="shared" si="50"/>
        <v>0</v>
      </c>
      <c r="K573" s="516"/>
      <c r="L573" s="521"/>
      <c r="M573" s="516">
        <f t="shared" si="51"/>
        <v>0</v>
      </c>
      <c r="N573" s="521"/>
      <c r="O573" s="516">
        <f t="shared" si="52"/>
        <v>0</v>
      </c>
      <c r="P573" s="516">
        <f t="shared" si="53"/>
        <v>0</v>
      </c>
      <c r="Q573" s="479"/>
    </row>
    <row r="574" spans="3:17">
      <c r="C574" s="512">
        <f>IF(D531="","-",+C573+1)</f>
        <v>2051</v>
      </c>
      <c r="D574" s="477">
        <f t="shared" si="54"/>
        <v>640419.93872807175</v>
      </c>
      <c r="E574" s="519">
        <f t="shared" si="56"/>
        <v>349319.96657894744</v>
      </c>
      <c r="F574" s="519">
        <f t="shared" si="48"/>
        <v>291099.97214912431</v>
      </c>
      <c r="G574" s="477">
        <f t="shared" si="49"/>
        <v>465759.95543859806</v>
      </c>
      <c r="H574" s="513">
        <f>+J532*G574+E574</f>
        <v>401060.64423457929</v>
      </c>
      <c r="I574" s="515">
        <f t="shared" si="55"/>
        <v>401060.64423457929</v>
      </c>
      <c r="J574" s="516">
        <f t="shared" si="50"/>
        <v>0</v>
      </c>
      <c r="K574" s="516"/>
      <c r="L574" s="521"/>
      <c r="M574" s="516">
        <f t="shared" si="51"/>
        <v>0</v>
      </c>
      <c r="N574" s="521"/>
      <c r="O574" s="516">
        <f t="shared" si="52"/>
        <v>0</v>
      </c>
      <c r="P574" s="516">
        <f t="shared" si="53"/>
        <v>0</v>
      </c>
      <c r="Q574" s="479"/>
    </row>
    <row r="575" spans="3:17">
      <c r="C575" s="512">
        <f>IF(D531="","-",+C574+1)</f>
        <v>2052</v>
      </c>
      <c r="D575" s="477">
        <f t="shared" si="54"/>
        <v>291099.97214912431</v>
      </c>
      <c r="E575" s="519">
        <f t="shared" si="56"/>
        <v>291099.97214912431</v>
      </c>
      <c r="F575" s="519">
        <f t="shared" si="48"/>
        <v>0</v>
      </c>
      <c r="G575" s="477">
        <f t="shared" si="49"/>
        <v>145549.98607456216</v>
      </c>
      <c r="H575" s="513">
        <f>+J532*G575+E575</f>
        <v>307268.93391650927</v>
      </c>
      <c r="I575" s="515">
        <f t="shared" si="55"/>
        <v>307268.93391650927</v>
      </c>
      <c r="J575" s="516">
        <f t="shared" si="50"/>
        <v>0</v>
      </c>
      <c r="K575" s="516"/>
      <c r="L575" s="521"/>
      <c r="M575" s="516">
        <f t="shared" si="51"/>
        <v>0</v>
      </c>
      <c r="N575" s="521"/>
      <c r="O575" s="516">
        <f t="shared" si="52"/>
        <v>0</v>
      </c>
      <c r="P575" s="516">
        <f t="shared" si="53"/>
        <v>0</v>
      </c>
      <c r="Q575" s="479"/>
    </row>
    <row r="576" spans="3:17">
      <c r="C576" s="512">
        <f>IF(D531="","-",+C575+1)</f>
        <v>2053</v>
      </c>
      <c r="D576" s="477">
        <f t="shared" si="54"/>
        <v>0</v>
      </c>
      <c r="E576" s="519">
        <f t="shared" si="56"/>
        <v>0</v>
      </c>
      <c r="F576" s="519">
        <f t="shared" si="48"/>
        <v>0</v>
      </c>
      <c r="G576" s="477">
        <f t="shared" si="49"/>
        <v>0</v>
      </c>
      <c r="H576" s="513">
        <f>+J532*G576+E576</f>
        <v>0</v>
      </c>
      <c r="I576" s="515">
        <f t="shared" si="55"/>
        <v>0</v>
      </c>
      <c r="J576" s="516">
        <f t="shared" si="50"/>
        <v>0</v>
      </c>
      <c r="K576" s="516"/>
      <c r="L576" s="521"/>
      <c r="M576" s="516">
        <f t="shared" si="51"/>
        <v>0</v>
      </c>
      <c r="N576" s="521"/>
      <c r="O576" s="516">
        <f t="shared" si="52"/>
        <v>0</v>
      </c>
      <c r="P576" s="516">
        <f t="shared" si="53"/>
        <v>0</v>
      </c>
      <c r="Q576" s="479"/>
    </row>
    <row r="577" spans="3:17">
      <c r="C577" s="512">
        <f>IF(D531="","-",+C576+1)</f>
        <v>2054</v>
      </c>
      <c r="D577" s="477">
        <f t="shared" si="54"/>
        <v>0</v>
      </c>
      <c r="E577" s="519">
        <f t="shared" si="56"/>
        <v>0</v>
      </c>
      <c r="F577" s="519">
        <f t="shared" si="48"/>
        <v>0</v>
      </c>
      <c r="G577" s="477">
        <f t="shared" si="49"/>
        <v>0</v>
      </c>
      <c r="H577" s="513">
        <f>+J532*G577+E577</f>
        <v>0</v>
      </c>
      <c r="I577" s="515">
        <f t="shared" si="55"/>
        <v>0</v>
      </c>
      <c r="J577" s="516">
        <f t="shared" si="50"/>
        <v>0</v>
      </c>
      <c r="K577" s="516"/>
      <c r="L577" s="521"/>
      <c r="M577" s="516">
        <f t="shared" si="51"/>
        <v>0</v>
      </c>
      <c r="N577" s="521"/>
      <c r="O577" s="516">
        <f t="shared" si="52"/>
        <v>0</v>
      </c>
      <c r="P577" s="516">
        <f t="shared" si="53"/>
        <v>0</v>
      </c>
      <c r="Q577" s="479"/>
    </row>
    <row r="578" spans="3:17">
      <c r="C578" s="512">
        <f>IF(D531="","-",+C577+1)</f>
        <v>2055</v>
      </c>
      <c r="D578" s="477">
        <f t="shared" si="54"/>
        <v>0</v>
      </c>
      <c r="E578" s="519">
        <f t="shared" si="56"/>
        <v>0</v>
      </c>
      <c r="F578" s="519">
        <f t="shared" si="48"/>
        <v>0</v>
      </c>
      <c r="G578" s="477">
        <f t="shared" si="49"/>
        <v>0</v>
      </c>
      <c r="H578" s="513">
        <f>+J532*G578+E578</f>
        <v>0</v>
      </c>
      <c r="I578" s="515">
        <f t="shared" si="55"/>
        <v>0</v>
      </c>
      <c r="J578" s="516">
        <f t="shared" si="50"/>
        <v>0</v>
      </c>
      <c r="K578" s="516"/>
      <c r="L578" s="521"/>
      <c r="M578" s="516">
        <f t="shared" si="51"/>
        <v>0</v>
      </c>
      <c r="N578" s="521"/>
      <c r="O578" s="516">
        <f t="shared" si="52"/>
        <v>0</v>
      </c>
      <c r="P578" s="516">
        <f t="shared" si="53"/>
        <v>0</v>
      </c>
      <c r="Q578" s="479"/>
    </row>
    <row r="579" spans="3:17">
      <c r="C579" s="512">
        <f>IF(D531="","-",+C578+1)</f>
        <v>2056</v>
      </c>
      <c r="D579" s="477">
        <f t="shared" si="54"/>
        <v>0</v>
      </c>
      <c r="E579" s="519">
        <f t="shared" si="56"/>
        <v>0</v>
      </c>
      <c r="F579" s="519">
        <f t="shared" si="48"/>
        <v>0</v>
      </c>
      <c r="G579" s="477">
        <f t="shared" si="49"/>
        <v>0</v>
      </c>
      <c r="H579" s="513">
        <f>+J532*G579+E579</f>
        <v>0</v>
      </c>
      <c r="I579" s="515">
        <f t="shared" si="55"/>
        <v>0</v>
      </c>
      <c r="J579" s="516">
        <f t="shared" si="50"/>
        <v>0</v>
      </c>
      <c r="K579" s="516"/>
      <c r="L579" s="521"/>
      <c r="M579" s="516">
        <f t="shared" si="51"/>
        <v>0</v>
      </c>
      <c r="N579" s="521"/>
      <c r="O579" s="516">
        <f t="shared" si="52"/>
        <v>0</v>
      </c>
      <c r="P579" s="516">
        <f t="shared" si="53"/>
        <v>0</v>
      </c>
      <c r="Q579" s="479"/>
    </row>
    <row r="580" spans="3:17">
      <c r="C580" s="512">
        <f>IF(D531="","-",+C579+1)</f>
        <v>2057</v>
      </c>
      <c r="D580" s="477">
        <f t="shared" si="54"/>
        <v>0</v>
      </c>
      <c r="E580" s="519">
        <f t="shared" si="56"/>
        <v>0</v>
      </c>
      <c r="F580" s="519">
        <f t="shared" si="48"/>
        <v>0</v>
      </c>
      <c r="G580" s="477">
        <f t="shared" si="49"/>
        <v>0</v>
      </c>
      <c r="H580" s="513">
        <f>+J532*G580+E580</f>
        <v>0</v>
      </c>
      <c r="I580" s="515">
        <f t="shared" si="55"/>
        <v>0</v>
      </c>
      <c r="J580" s="516">
        <f t="shared" si="50"/>
        <v>0</v>
      </c>
      <c r="K580" s="516"/>
      <c r="L580" s="521"/>
      <c r="M580" s="516">
        <f t="shared" si="51"/>
        <v>0</v>
      </c>
      <c r="N580" s="521"/>
      <c r="O580" s="516">
        <f t="shared" si="52"/>
        <v>0</v>
      </c>
      <c r="P580" s="516">
        <f t="shared" si="53"/>
        <v>0</v>
      </c>
      <c r="Q580" s="479"/>
    </row>
    <row r="581" spans="3:17">
      <c r="C581" s="512">
        <f>IF(D531="","-",+C580+1)</f>
        <v>2058</v>
      </c>
      <c r="D581" s="477">
        <f t="shared" si="54"/>
        <v>0</v>
      </c>
      <c r="E581" s="519">
        <f t="shared" si="56"/>
        <v>0</v>
      </c>
      <c r="F581" s="519">
        <f t="shared" si="48"/>
        <v>0</v>
      </c>
      <c r="G581" s="477">
        <f t="shared" si="49"/>
        <v>0</v>
      </c>
      <c r="H581" s="513">
        <f>+J532*G581+E581</f>
        <v>0</v>
      </c>
      <c r="I581" s="515">
        <f t="shared" si="55"/>
        <v>0</v>
      </c>
      <c r="J581" s="516">
        <f t="shared" si="50"/>
        <v>0</v>
      </c>
      <c r="K581" s="516"/>
      <c r="L581" s="521"/>
      <c r="M581" s="516">
        <f t="shared" si="51"/>
        <v>0</v>
      </c>
      <c r="N581" s="521"/>
      <c r="O581" s="516">
        <f t="shared" si="52"/>
        <v>0</v>
      </c>
      <c r="P581" s="516">
        <f t="shared" si="53"/>
        <v>0</v>
      </c>
      <c r="Q581" s="479"/>
    </row>
    <row r="582" spans="3:17">
      <c r="C582" s="512">
        <f>IF(D531="","-",+C581+1)</f>
        <v>2059</v>
      </c>
      <c r="D582" s="477">
        <f t="shared" si="54"/>
        <v>0</v>
      </c>
      <c r="E582" s="519">
        <f t="shared" si="56"/>
        <v>0</v>
      </c>
      <c r="F582" s="519">
        <f t="shared" si="48"/>
        <v>0</v>
      </c>
      <c r="G582" s="477">
        <f t="shared" si="49"/>
        <v>0</v>
      </c>
      <c r="H582" s="513">
        <f>+J532*G582+E582</f>
        <v>0</v>
      </c>
      <c r="I582" s="515">
        <f t="shared" si="55"/>
        <v>0</v>
      </c>
      <c r="J582" s="516">
        <f t="shared" si="50"/>
        <v>0</v>
      </c>
      <c r="K582" s="516"/>
      <c r="L582" s="521"/>
      <c r="M582" s="516">
        <f t="shared" si="51"/>
        <v>0</v>
      </c>
      <c r="N582" s="521"/>
      <c r="O582" s="516">
        <f t="shared" si="52"/>
        <v>0</v>
      </c>
      <c r="P582" s="516">
        <f t="shared" si="53"/>
        <v>0</v>
      </c>
      <c r="Q582" s="479"/>
    </row>
    <row r="583" spans="3:17">
      <c r="C583" s="512">
        <f>IF(D531="","-",+C582+1)</f>
        <v>2060</v>
      </c>
      <c r="D583" s="477">
        <f t="shared" si="54"/>
        <v>0</v>
      </c>
      <c r="E583" s="519">
        <f t="shared" si="56"/>
        <v>0</v>
      </c>
      <c r="F583" s="519">
        <f t="shared" si="48"/>
        <v>0</v>
      </c>
      <c r="G583" s="477">
        <f t="shared" si="49"/>
        <v>0</v>
      </c>
      <c r="H583" s="513">
        <f>+J532*G583+E583</f>
        <v>0</v>
      </c>
      <c r="I583" s="515">
        <f t="shared" si="55"/>
        <v>0</v>
      </c>
      <c r="J583" s="516">
        <f t="shared" si="50"/>
        <v>0</v>
      </c>
      <c r="K583" s="516"/>
      <c r="L583" s="521"/>
      <c r="M583" s="516">
        <f t="shared" si="51"/>
        <v>0</v>
      </c>
      <c r="N583" s="521"/>
      <c r="O583" s="516">
        <f t="shared" si="52"/>
        <v>0</v>
      </c>
      <c r="P583" s="516">
        <f t="shared" si="53"/>
        <v>0</v>
      </c>
      <c r="Q583" s="479"/>
    </row>
    <row r="584" spans="3:17">
      <c r="C584" s="512">
        <f>IF(D531="","-",+C583+1)</f>
        <v>2061</v>
      </c>
      <c r="D584" s="477">
        <f t="shared" si="54"/>
        <v>0</v>
      </c>
      <c r="E584" s="519">
        <f t="shared" si="56"/>
        <v>0</v>
      </c>
      <c r="F584" s="519">
        <f t="shared" si="48"/>
        <v>0</v>
      </c>
      <c r="G584" s="477">
        <f t="shared" si="49"/>
        <v>0</v>
      </c>
      <c r="H584" s="513">
        <f>+J532*G584+E584</f>
        <v>0</v>
      </c>
      <c r="I584" s="515">
        <f t="shared" si="55"/>
        <v>0</v>
      </c>
      <c r="J584" s="516">
        <f t="shared" si="50"/>
        <v>0</v>
      </c>
      <c r="K584" s="516"/>
      <c r="L584" s="521"/>
      <c r="M584" s="516">
        <f t="shared" si="51"/>
        <v>0</v>
      </c>
      <c r="N584" s="521"/>
      <c r="O584" s="516">
        <f t="shared" si="52"/>
        <v>0</v>
      </c>
      <c r="P584" s="516">
        <f t="shared" si="53"/>
        <v>0</v>
      </c>
      <c r="Q584" s="479"/>
    </row>
    <row r="585" spans="3:17">
      <c r="C585" s="512">
        <f>IF(D531="","-",+C584+1)</f>
        <v>2062</v>
      </c>
      <c r="D585" s="477">
        <f t="shared" si="54"/>
        <v>0</v>
      </c>
      <c r="E585" s="519">
        <f t="shared" si="56"/>
        <v>0</v>
      </c>
      <c r="F585" s="519">
        <f t="shared" si="48"/>
        <v>0</v>
      </c>
      <c r="G585" s="477">
        <f t="shared" si="49"/>
        <v>0</v>
      </c>
      <c r="H585" s="513">
        <f>+J532*G585+E585</f>
        <v>0</v>
      </c>
      <c r="I585" s="515">
        <f t="shared" si="55"/>
        <v>0</v>
      </c>
      <c r="J585" s="516">
        <f t="shared" si="50"/>
        <v>0</v>
      </c>
      <c r="K585" s="516"/>
      <c r="L585" s="521"/>
      <c r="M585" s="516">
        <f t="shared" si="51"/>
        <v>0</v>
      </c>
      <c r="N585" s="521"/>
      <c r="O585" s="516">
        <f t="shared" si="52"/>
        <v>0</v>
      </c>
      <c r="P585" s="516">
        <f t="shared" si="53"/>
        <v>0</v>
      </c>
      <c r="Q585" s="479"/>
    </row>
    <row r="586" spans="3:17">
      <c r="C586" s="512">
        <f>IF(D531="","-",+C585+1)</f>
        <v>2063</v>
      </c>
      <c r="D586" s="477">
        <f t="shared" si="54"/>
        <v>0</v>
      </c>
      <c r="E586" s="519">
        <f t="shared" si="56"/>
        <v>0</v>
      </c>
      <c r="F586" s="519">
        <f t="shared" si="48"/>
        <v>0</v>
      </c>
      <c r="G586" s="477">
        <f t="shared" si="49"/>
        <v>0</v>
      </c>
      <c r="H586" s="513">
        <f>+J532*G586+E586</f>
        <v>0</v>
      </c>
      <c r="I586" s="515">
        <f t="shared" si="55"/>
        <v>0</v>
      </c>
      <c r="J586" s="516">
        <f t="shared" si="50"/>
        <v>0</v>
      </c>
      <c r="K586" s="516"/>
      <c r="L586" s="521"/>
      <c r="M586" s="516">
        <f t="shared" si="51"/>
        <v>0</v>
      </c>
      <c r="N586" s="521"/>
      <c r="O586" s="516">
        <f t="shared" si="52"/>
        <v>0</v>
      </c>
      <c r="P586" s="516">
        <f t="shared" si="53"/>
        <v>0</v>
      </c>
      <c r="Q586" s="479"/>
    </row>
    <row r="587" spans="3:17">
      <c r="C587" s="512">
        <f>IF(D531="","-",+C586+1)</f>
        <v>2064</v>
      </c>
      <c r="D587" s="477">
        <f t="shared" si="54"/>
        <v>0</v>
      </c>
      <c r="E587" s="519">
        <f t="shared" si="56"/>
        <v>0</v>
      </c>
      <c r="F587" s="519">
        <f t="shared" si="48"/>
        <v>0</v>
      </c>
      <c r="G587" s="477">
        <f t="shared" si="49"/>
        <v>0</v>
      </c>
      <c r="H587" s="513">
        <f>+J532*G587+E587</f>
        <v>0</v>
      </c>
      <c r="I587" s="515">
        <f t="shared" si="55"/>
        <v>0</v>
      </c>
      <c r="J587" s="516">
        <f t="shared" si="50"/>
        <v>0</v>
      </c>
      <c r="K587" s="516"/>
      <c r="L587" s="521"/>
      <c r="M587" s="516">
        <f t="shared" si="51"/>
        <v>0</v>
      </c>
      <c r="N587" s="521"/>
      <c r="O587" s="516">
        <f t="shared" si="52"/>
        <v>0</v>
      </c>
      <c r="P587" s="516">
        <f t="shared" si="53"/>
        <v>0</v>
      </c>
      <c r="Q587" s="479"/>
    </row>
    <row r="588" spans="3:17">
      <c r="C588" s="512">
        <f>IF(D531="","-",+C587+1)</f>
        <v>2065</v>
      </c>
      <c r="D588" s="477">
        <f t="shared" si="54"/>
        <v>0</v>
      </c>
      <c r="E588" s="519">
        <f t="shared" si="56"/>
        <v>0</v>
      </c>
      <c r="F588" s="519">
        <f t="shared" si="48"/>
        <v>0</v>
      </c>
      <c r="G588" s="477">
        <f t="shared" si="49"/>
        <v>0</v>
      </c>
      <c r="H588" s="513">
        <f>+J532*G588+E588</f>
        <v>0</v>
      </c>
      <c r="I588" s="515">
        <f t="shared" si="55"/>
        <v>0</v>
      </c>
      <c r="J588" s="516">
        <f t="shared" si="50"/>
        <v>0</v>
      </c>
      <c r="K588" s="516"/>
      <c r="L588" s="521"/>
      <c r="M588" s="516">
        <f t="shared" si="51"/>
        <v>0</v>
      </c>
      <c r="N588" s="521"/>
      <c r="O588" s="516">
        <f t="shared" si="52"/>
        <v>0</v>
      </c>
      <c r="P588" s="516">
        <f t="shared" si="53"/>
        <v>0</v>
      </c>
      <c r="Q588" s="479"/>
    </row>
    <row r="589" spans="3:17">
      <c r="C589" s="512">
        <f>IF(D531="","-",+C588+1)</f>
        <v>2066</v>
      </c>
      <c r="D589" s="477">
        <f t="shared" si="54"/>
        <v>0</v>
      </c>
      <c r="E589" s="519">
        <f t="shared" si="56"/>
        <v>0</v>
      </c>
      <c r="F589" s="519">
        <f t="shared" si="48"/>
        <v>0</v>
      </c>
      <c r="G589" s="477">
        <f t="shared" si="49"/>
        <v>0</v>
      </c>
      <c r="H589" s="513">
        <f>+J532*G589+E589</f>
        <v>0</v>
      </c>
      <c r="I589" s="515">
        <f t="shared" si="55"/>
        <v>0</v>
      </c>
      <c r="J589" s="516">
        <f t="shared" si="50"/>
        <v>0</v>
      </c>
      <c r="K589" s="516"/>
      <c r="L589" s="521"/>
      <c r="M589" s="516">
        <f t="shared" si="51"/>
        <v>0</v>
      </c>
      <c r="N589" s="521"/>
      <c r="O589" s="516">
        <f t="shared" si="52"/>
        <v>0</v>
      </c>
      <c r="P589" s="516">
        <f t="shared" si="53"/>
        <v>0</v>
      </c>
      <c r="Q589" s="479"/>
    </row>
    <row r="590" spans="3:17">
      <c r="C590" s="512">
        <f>IF(D531="","-",+C589+1)</f>
        <v>2067</v>
      </c>
      <c r="D590" s="477">
        <f t="shared" si="54"/>
        <v>0</v>
      </c>
      <c r="E590" s="519">
        <f t="shared" si="56"/>
        <v>0</v>
      </c>
      <c r="F590" s="519">
        <f t="shared" si="48"/>
        <v>0</v>
      </c>
      <c r="G590" s="477">
        <f t="shared" si="49"/>
        <v>0</v>
      </c>
      <c r="H590" s="513">
        <f>+J532*G590+E590</f>
        <v>0</v>
      </c>
      <c r="I590" s="515">
        <f t="shared" si="55"/>
        <v>0</v>
      </c>
      <c r="J590" s="516">
        <f t="shared" si="50"/>
        <v>0</v>
      </c>
      <c r="K590" s="516"/>
      <c r="L590" s="521"/>
      <c r="M590" s="516">
        <f t="shared" si="51"/>
        <v>0</v>
      </c>
      <c r="N590" s="521"/>
      <c r="O590" s="516">
        <f t="shared" si="52"/>
        <v>0</v>
      </c>
      <c r="P590" s="516">
        <f t="shared" si="53"/>
        <v>0</v>
      </c>
      <c r="Q590" s="479"/>
    </row>
    <row r="591" spans="3:17">
      <c r="C591" s="512">
        <f>IF(D531="","-",+C590+1)</f>
        <v>2068</v>
      </c>
      <c r="D591" s="477">
        <f t="shared" si="54"/>
        <v>0</v>
      </c>
      <c r="E591" s="519">
        <f t="shared" si="56"/>
        <v>0</v>
      </c>
      <c r="F591" s="519">
        <f t="shared" si="48"/>
        <v>0</v>
      </c>
      <c r="G591" s="477">
        <f t="shared" si="49"/>
        <v>0</v>
      </c>
      <c r="H591" s="513">
        <f>+J532*G591+E591</f>
        <v>0</v>
      </c>
      <c r="I591" s="515">
        <f t="shared" si="55"/>
        <v>0</v>
      </c>
      <c r="J591" s="516">
        <f t="shared" si="50"/>
        <v>0</v>
      </c>
      <c r="K591" s="516"/>
      <c r="L591" s="521"/>
      <c r="M591" s="516">
        <f t="shared" si="51"/>
        <v>0</v>
      </c>
      <c r="N591" s="521"/>
      <c r="O591" s="516">
        <f t="shared" si="52"/>
        <v>0</v>
      </c>
      <c r="P591" s="516">
        <f t="shared" si="53"/>
        <v>0</v>
      </c>
      <c r="Q591" s="479"/>
    </row>
    <row r="592" spans="3:17">
      <c r="C592" s="512">
        <f>IF(D531="","-",+C591+1)</f>
        <v>2069</v>
      </c>
      <c r="D592" s="477">
        <f t="shared" si="54"/>
        <v>0</v>
      </c>
      <c r="E592" s="519">
        <f t="shared" si="56"/>
        <v>0</v>
      </c>
      <c r="F592" s="519">
        <f t="shared" si="48"/>
        <v>0</v>
      </c>
      <c r="G592" s="477">
        <f t="shared" si="49"/>
        <v>0</v>
      </c>
      <c r="H592" s="513">
        <f>+J532*G592+E592</f>
        <v>0</v>
      </c>
      <c r="I592" s="515">
        <f t="shared" si="55"/>
        <v>0</v>
      </c>
      <c r="J592" s="516">
        <f t="shared" si="50"/>
        <v>0</v>
      </c>
      <c r="K592" s="516"/>
      <c r="L592" s="521"/>
      <c r="M592" s="516">
        <f t="shared" si="51"/>
        <v>0</v>
      </c>
      <c r="N592" s="521"/>
      <c r="O592" s="516">
        <f t="shared" si="52"/>
        <v>0</v>
      </c>
      <c r="P592" s="516">
        <f t="shared" si="53"/>
        <v>0</v>
      </c>
      <c r="Q592" s="479"/>
    </row>
    <row r="593" spans="1:17">
      <c r="C593" s="512">
        <f>IF(D531="","-",+C592+1)</f>
        <v>2070</v>
      </c>
      <c r="D593" s="477">
        <f t="shared" si="54"/>
        <v>0</v>
      </c>
      <c r="E593" s="519">
        <f t="shared" si="56"/>
        <v>0</v>
      </c>
      <c r="F593" s="519">
        <f t="shared" si="48"/>
        <v>0</v>
      </c>
      <c r="G593" s="477">
        <f t="shared" si="49"/>
        <v>0</v>
      </c>
      <c r="H593" s="513">
        <f>+J532*G593+E593</f>
        <v>0</v>
      </c>
      <c r="I593" s="515">
        <f t="shared" si="55"/>
        <v>0</v>
      </c>
      <c r="J593" s="516">
        <f t="shared" si="50"/>
        <v>0</v>
      </c>
      <c r="K593" s="516"/>
      <c r="L593" s="521"/>
      <c r="M593" s="516">
        <f t="shared" si="51"/>
        <v>0</v>
      </c>
      <c r="N593" s="521"/>
      <c r="O593" s="516">
        <f t="shared" si="52"/>
        <v>0</v>
      </c>
      <c r="P593" s="516">
        <f t="shared" si="53"/>
        <v>0</v>
      </c>
      <c r="Q593" s="479"/>
    </row>
    <row r="594" spans="1:17">
      <c r="C594" s="512">
        <f>IF(D531="","-",+C593+1)</f>
        <v>2071</v>
      </c>
      <c r="D594" s="477">
        <f t="shared" si="54"/>
        <v>0</v>
      </c>
      <c r="E594" s="519">
        <f t="shared" si="56"/>
        <v>0</v>
      </c>
      <c r="F594" s="519">
        <f t="shared" si="48"/>
        <v>0</v>
      </c>
      <c r="G594" s="477">
        <f t="shared" si="49"/>
        <v>0</v>
      </c>
      <c r="H594" s="513">
        <f>+J532*G594+E594</f>
        <v>0</v>
      </c>
      <c r="I594" s="515">
        <f t="shared" si="55"/>
        <v>0</v>
      </c>
      <c r="J594" s="516">
        <f t="shared" si="50"/>
        <v>0</v>
      </c>
      <c r="K594" s="516"/>
      <c r="L594" s="521"/>
      <c r="M594" s="516">
        <f t="shared" si="51"/>
        <v>0</v>
      </c>
      <c r="N594" s="521"/>
      <c r="O594" s="516">
        <f t="shared" si="52"/>
        <v>0</v>
      </c>
      <c r="P594" s="516">
        <f t="shared" si="53"/>
        <v>0</v>
      </c>
      <c r="Q594" s="479"/>
    </row>
    <row r="595" spans="1:17">
      <c r="C595" s="512">
        <f>IF(D531="","-",+C594+1)</f>
        <v>2072</v>
      </c>
      <c r="D595" s="477">
        <f t="shared" si="54"/>
        <v>0</v>
      </c>
      <c r="E595" s="519">
        <f t="shared" si="56"/>
        <v>0</v>
      </c>
      <c r="F595" s="519">
        <f t="shared" si="48"/>
        <v>0</v>
      </c>
      <c r="G595" s="477">
        <f t="shared" si="49"/>
        <v>0</v>
      </c>
      <c r="H595" s="513">
        <f>+J532*G595+E595</f>
        <v>0</v>
      </c>
      <c r="I595" s="515">
        <f t="shared" si="55"/>
        <v>0</v>
      </c>
      <c r="J595" s="516">
        <f t="shared" si="50"/>
        <v>0</v>
      </c>
      <c r="K595" s="516"/>
      <c r="L595" s="521"/>
      <c r="M595" s="516">
        <f t="shared" si="51"/>
        <v>0</v>
      </c>
      <c r="N595" s="521"/>
      <c r="O595" s="516">
        <f t="shared" si="52"/>
        <v>0</v>
      </c>
      <c r="P595" s="516">
        <f t="shared" si="53"/>
        <v>0</v>
      </c>
      <c r="Q595" s="479"/>
    </row>
    <row r="596" spans="1:17" ht="13.5" thickBot="1">
      <c r="C596" s="523">
        <f>IF(D531="","-",+C595+1)</f>
        <v>2073</v>
      </c>
      <c r="D596" s="524">
        <f t="shared" si="54"/>
        <v>0</v>
      </c>
      <c r="E596" s="974">
        <f t="shared" si="56"/>
        <v>0</v>
      </c>
      <c r="F596" s="525">
        <f t="shared" si="48"/>
        <v>0</v>
      </c>
      <c r="G596" s="524">
        <f t="shared" si="49"/>
        <v>0</v>
      </c>
      <c r="H596" s="526">
        <f>+J532*G596+E596</f>
        <v>0</v>
      </c>
      <c r="I596" s="515">
        <f t="shared" si="55"/>
        <v>0</v>
      </c>
      <c r="J596" s="527">
        <f t="shared" si="50"/>
        <v>0</v>
      </c>
      <c r="K596" s="516"/>
      <c r="L596" s="528"/>
      <c r="M596" s="527">
        <f t="shared" si="51"/>
        <v>0</v>
      </c>
      <c r="N596" s="528"/>
      <c r="O596" s="527">
        <f t="shared" si="52"/>
        <v>0</v>
      </c>
      <c r="P596" s="527">
        <f t="shared" si="53"/>
        <v>0</v>
      </c>
      <c r="Q596" s="479"/>
    </row>
    <row r="597" spans="1:17">
      <c r="C597" s="477" t="s">
        <v>289</v>
      </c>
      <c r="D597" s="475"/>
      <c r="E597" s="475">
        <f>SUM(E537:E596)</f>
        <v>13274158.730000002</v>
      </c>
      <c r="F597" s="475"/>
      <c r="G597" s="475"/>
      <c r="H597" s="475">
        <f>SUM(H537:H596)</f>
        <v>42520576.774845801</v>
      </c>
      <c r="I597" s="475">
        <f>SUM(I537:I596)</f>
        <v>42520576.774845801</v>
      </c>
      <c r="J597" s="475">
        <f>SUM(J537:J596)</f>
        <v>0</v>
      </c>
      <c r="K597" s="475"/>
      <c r="L597" s="475"/>
      <c r="M597" s="475"/>
      <c r="N597" s="475"/>
      <c r="O597" s="475"/>
      <c r="Q597" s="475"/>
    </row>
    <row r="598" spans="1:17">
      <c r="D598" s="82"/>
      <c r="E598" s="4"/>
      <c r="F598" s="4"/>
      <c r="G598" s="4"/>
      <c r="H598" s="4"/>
      <c r="I598" s="460"/>
      <c r="J598" s="460"/>
      <c r="K598" s="475"/>
      <c r="L598" s="460"/>
      <c r="M598" s="460"/>
      <c r="N598" s="460"/>
      <c r="O598" s="460"/>
      <c r="Q598" s="475"/>
    </row>
    <row r="599" spans="1:17">
      <c r="C599" s="4" t="s">
        <v>596</v>
      </c>
      <c r="D599" s="82"/>
      <c r="E599" s="4"/>
      <c r="F599" s="4"/>
      <c r="G599" s="4"/>
      <c r="H599" s="4"/>
      <c r="I599" s="460"/>
      <c r="J599" s="460"/>
      <c r="K599" s="475"/>
      <c r="L599" s="460"/>
      <c r="M599" s="460"/>
      <c r="N599" s="460"/>
      <c r="O599" s="460"/>
      <c r="Q599" s="475"/>
    </row>
    <row r="600" spans="1:17">
      <c r="D600" s="82"/>
      <c r="E600" s="4"/>
      <c r="F600" s="4"/>
      <c r="G600" s="4"/>
      <c r="H600" s="4"/>
      <c r="I600" s="460"/>
      <c r="J600" s="460"/>
      <c r="K600" s="475"/>
      <c r="L600" s="460"/>
      <c r="M600" s="460"/>
      <c r="N600" s="460"/>
      <c r="O600" s="460"/>
      <c r="Q600" s="475"/>
    </row>
    <row r="601" spans="1:17">
      <c r="C601" s="4" t="s">
        <v>597</v>
      </c>
      <c r="D601" s="477"/>
      <c r="E601" s="477"/>
      <c r="F601" s="477"/>
      <c r="G601" s="477"/>
      <c r="H601" s="475"/>
      <c r="I601" s="475"/>
      <c r="J601" s="479"/>
      <c r="K601" s="479"/>
      <c r="L601" s="479"/>
      <c r="M601" s="479"/>
      <c r="N601" s="479"/>
      <c r="O601" s="479"/>
      <c r="Q601" s="479"/>
    </row>
    <row r="602" spans="1:17">
      <c r="C602" s="4" t="s">
        <v>477</v>
      </c>
      <c r="D602" s="477"/>
      <c r="E602" s="477"/>
      <c r="F602" s="477"/>
      <c r="G602" s="477"/>
      <c r="H602" s="475"/>
      <c r="I602" s="475"/>
      <c r="J602" s="479"/>
      <c r="K602" s="479"/>
      <c r="L602" s="479"/>
      <c r="M602" s="479"/>
      <c r="N602" s="479"/>
      <c r="O602" s="479"/>
      <c r="Q602" s="479"/>
    </row>
    <row r="603" spans="1:17">
      <c r="C603" s="4" t="s">
        <v>290</v>
      </c>
      <c r="D603" s="477"/>
      <c r="E603" s="477"/>
      <c r="F603" s="477"/>
      <c r="G603" s="477"/>
      <c r="H603" s="475"/>
      <c r="I603" s="475"/>
      <c r="J603" s="479"/>
      <c r="K603" s="479"/>
      <c r="L603" s="479"/>
      <c r="M603" s="479"/>
      <c r="N603" s="479"/>
      <c r="O603" s="479"/>
      <c r="Q603" s="479"/>
    </row>
    <row r="604" spans="1:17">
      <c r="C604" s="478"/>
      <c r="D604" s="477"/>
      <c r="E604" s="477"/>
      <c r="F604" s="477"/>
      <c r="G604" s="477"/>
      <c r="H604" s="475"/>
      <c r="I604" s="475"/>
      <c r="J604" s="479"/>
      <c r="K604" s="479"/>
      <c r="L604" s="479"/>
      <c r="M604" s="479"/>
      <c r="N604" s="479"/>
      <c r="O604" s="479"/>
      <c r="Q604" s="479"/>
    </row>
    <row r="605" spans="1:17" ht="20.25">
      <c r="A605" s="419" t="s">
        <v>763</v>
      </c>
      <c r="B605" s="4"/>
      <c r="C605" s="4"/>
      <c r="D605" s="82"/>
      <c r="E605" s="4"/>
      <c r="F605" s="84"/>
      <c r="G605" s="84"/>
      <c r="H605" s="4"/>
      <c r="I605" s="460"/>
      <c r="L605" s="11"/>
      <c r="M605" s="11"/>
      <c r="N605" s="11"/>
      <c r="O605" s="11" t="str">
        <f>"Page "&amp;SUM(Q$3:Q605)&amp;" of "</f>
        <v xml:space="preserve">Page 10 of </v>
      </c>
      <c r="P605" s="420">
        <f>COUNT(Q$8:Q$58123)</f>
        <v>15</v>
      </c>
      <c r="Q605" s="547">
        <v>1</v>
      </c>
    </row>
    <row r="606" spans="1:17">
      <c r="B606" s="4"/>
      <c r="C606" s="4"/>
      <c r="D606" s="82"/>
      <c r="E606" s="4"/>
      <c r="F606" s="4"/>
      <c r="G606" s="4"/>
      <c r="H606" s="4"/>
      <c r="I606" s="460"/>
      <c r="J606" s="4"/>
      <c r="K606" s="4"/>
    </row>
    <row r="607" spans="1:17" ht="18">
      <c r="B607" s="421" t="s">
        <v>175</v>
      </c>
      <c r="C607" s="480" t="s">
        <v>291</v>
      </c>
      <c r="D607" s="82"/>
      <c r="E607" s="4"/>
      <c r="F607" s="4"/>
      <c r="G607" s="4"/>
      <c r="H607" s="4"/>
      <c r="I607" s="460"/>
      <c r="J607" s="460"/>
      <c r="K607" s="475"/>
      <c r="L607" s="460"/>
      <c r="M607" s="460"/>
      <c r="N607" s="460"/>
      <c r="O607" s="460"/>
      <c r="Q607" s="475"/>
    </row>
    <row r="608" spans="1:17" ht="18.75">
      <c r="B608" s="421"/>
      <c r="C608" s="13"/>
      <c r="D608" s="82"/>
      <c r="E608" s="4"/>
      <c r="F608" s="4"/>
      <c r="G608" s="4"/>
      <c r="H608" s="4"/>
      <c r="I608" s="460"/>
      <c r="J608" s="460"/>
      <c r="K608" s="475"/>
      <c r="L608" s="460"/>
      <c r="M608" s="460"/>
      <c r="N608" s="460"/>
      <c r="O608" s="460"/>
      <c r="Q608" s="475"/>
    </row>
    <row r="609" spans="1:17" ht="18.75">
      <c r="B609" s="421"/>
      <c r="C609" s="13" t="s">
        <v>292</v>
      </c>
      <c r="D609" s="82"/>
      <c r="E609" s="4"/>
      <c r="F609" s="4"/>
      <c r="G609" s="4"/>
      <c r="H609" s="4"/>
      <c r="I609" s="460"/>
      <c r="J609" s="460"/>
      <c r="K609" s="475"/>
      <c r="L609" s="460"/>
      <c r="M609" s="460"/>
      <c r="N609" s="460"/>
      <c r="O609" s="460"/>
      <c r="Q609" s="475"/>
    </row>
    <row r="610" spans="1:17" ht="15.75" thickBot="1">
      <c r="C610" s="254"/>
      <c r="D610" s="82"/>
      <c r="E610" s="4"/>
      <c r="F610" s="4"/>
      <c r="G610" s="4"/>
      <c r="H610" s="4"/>
      <c r="I610" s="460"/>
      <c r="J610" s="460"/>
      <c r="K610" s="475"/>
      <c r="L610" s="460"/>
      <c r="M610" s="460"/>
      <c r="N610" s="460"/>
      <c r="O610" s="460"/>
      <c r="Q610" s="475"/>
    </row>
    <row r="611" spans="1:17" ht="15.75">
      <c r="C611" s="422" t="s">
        <v>293</v>
      </c>
      <c r="D611" s="82"/>
      <c r="E611" s="4"/>
      <c r="F611" s="4"/>
      <c r="G611" s="4"/>
      <c r="H611" s="645"/>
      <c r="I611" s="4" t="s">
        <v>272</v>
      </c>
      <c r="J611" s="4"/>
      <c r="K611" s="4"/>
      <c r="L611" s="548">
        <f>+J617</f>
        <v>2025</v>
      </c>
      <c r="M611" s="532" t="s">
        <v>255</v>
      </c>
      <c r="N611" s="532" t="s">
        <v>256</v>
      </c>
      <c r="O611" s="533" t="s">
        <v>257</v>
      </c>
    </row>
    <row r="612" spans="1:17" ht="15.75">
      <c r="C612" s="422"/>
      <c r="D612" s="82"/>
      <c r="E612" s="4"/>
      <c r="F612" s="4"/>
      <c r="H612" s="4"/>
      <c r="I612" s="484"/>
      <c r="J612" s="484"/>
      <c r="K612" s="485"/>
      <c r="L612" s="549" t="s">
        <v>456</v>
      </c>
      <c r="M612" s="550">
        <f>VLOOKUP(J617,C624:P683,10)</f>
        <v>391239.09302340285</v>
      </c>
      <c r="N612" s="550">
        <f>VLOOKUP(J617,C624:P683,12)</f>
        <v>391239.09302340285</v>
      </c>
      <c r="O612" s="551">
        <f>+N612-M612</f>
        <v>0</v>
      </c>
      <c r="Q612" s="485"/>
    </row>
    <row r="613" spans="1:17" ht="12.95" customHeight="1">
      <c r="C613" s="487" t="s">
        <v>294</v>
      </c>
      <c r="D613" s="1270" t="s">
        <v>938</v>
      </c>
      <c r="E613" s="1271"/>
      <c r="F613" s="1271"/>
      <c r="G613" s="1271"/>
      <c r="H613" s="1271"/>
      <c r="I613" s="1271"/>
      <c r="J613" s="460"/>
      <c r="K613" s="475"/>
      <c r="L613" s="549" t="s">
        <v>457</v>
      </c>
      <c r="M613" s="552">
        <f>VLOOKUP(J617,C624:P683,6)</f>
        <v>373218.35414568573</v>
      </c>
      <c r="N613" s="552">
        <f>VLOOKUP(J617,C624:P683,7)</f>
        <v>373218.35414568573</v>
      </c>
      <c r="O613" s="553">
        <f>+N613-M613</f>
        <v>0</v>
      </c>
      <c r="Q613" s="475"/>
    </row>
    <row r="614" spans="1:17" ht="13.5" thickBot="1">
      <c r="C614" s="489"/>
      <c r="D614" s="1271"/>
      <c r="E614" s="1271"/>
      <c r="F614" s="1271"/>
      <c r="G614" s="1271"/>
      <c r="H614" s="1271"/>
      <c r="I614" s="1271"/>
      <c r="J614" s="460"/>
      <c r="K614" s="475"/>
      <c r="L614" s="499" t="s">
        <v>458</v>
      </c>
      <c r="M614" s="554">
        <f>+M613-M612</f>
        <v>-18020.738877717115</v>
      </c>
      <c r="N614" s="554">
        <f>+N613-N612</f>
        <v>-18020.738877717115</v>
      </c>
      <c r="O614" s="555">
        <f>+O613-O612</f>
        <v>0</v>
      </c>
      <c r="Q614" s="475"/>
    </row>
    <row r="615" spans="1:17" ht="13.5" thickBot="1">
      <c r="C615" s="489"/>
      <c r="D615" s="4"/>
      <c r="E615" s="490"/>
      <c r="F615" s="490"/>
      <c r="G615" s="490"/>
      <c r="H615" s="490"/>
      <c r="I615" s="490"/>
      <c r="J615" s="490"/>
      <c r="K615" s="490"/>
      <c r="L615" s="490"/>
      <c r="M615" s="490"/>
      <c r="N615" s="490"/>
      <c r="O615" s="490"/>
      <c r="Q615" s="490"/>
    </row>
    <row r="616" spans="1:17" ht="13.5" thickBot="1">
      <c r="C616" s="491" t="s">
        <v>295</v>
      </c>
      <c r="D616" s="492"/>
      <c r="E616" s="492"/>
      <c r="F616" s="492"/>
      <c r="G616" s="492"/>
      <c r="H616" s="492"/>
      <c r="I616" s="492"/>
      <c r="J616" s="492"/>
      <c r="Q616"/>
    </row>
    <row r="617" spans="1:17" ht="15">
      <c r="A617" s="978"/>
      <c r="C617" s="494" t="s">
        <v>273</v>
      </c>
      <c r="D617" s="646">
        <v>3315854.25</v>
      </c>
      <c r="E617" s="4" t="s">
        <v>274</v>
      </c>
      <c r="H617" s="82"/>
      <c r="I617" s="82"/>
      <c r="J617" s="495">
        <f>$J$95</f>
        <v>2025</v>
      </c>
      <c r="K617" s="138"/>
      <c r="L617" s="1284" t="s">
        <v>275</v>
      </c>
      <c r="M617" s="1284"/>
      <c r="N617" s="1284"/>
      <c r="O617" s="1284"/>
      <c r="Q617" s="138"/>
    </row>
    <row r="618" spans="1:17">
      <c r="A618" s="978"/>
      <c r="C618" s="494" t="s">
        <v>276</v>
      </c>
      <c r="D618" s="656">
        <v>2016</v>
      </c>
      <c r="E618" s="494" t="s">
        <v>277</v>
      </c>
      <c r="F618" s="82"/>
      <c r="G618" s="82"/>
      <c r="I618"/>
      <c r="J618" s="650">
        <v>0</v>
      </c>
      <c r="K618" s="496"/>
      <c r="L618" s="475" t="s">
        <v>476</v>
      </c>
      <c r="Q618" s="496"/>
    </row>
    <row r="619" spans="1:17">
      <c r="A619" s="978"/>
      <c r="C619" s="494" t="s">
        <v>278</v>
      </c>
      <c r="D619" s="648">
        <v>12</v>
      </c>
      <c r="E619" s="494" t="s">
        <v>279</v>
      </c>
      <c r="F619" s="82"/>
      <c r="G619" s="82"/>
      <c r="I619"/>
      <c r="J619" s="497">
        <f>$F$70</f>
        <v>0.11108872081308177</v>
      </c>
      <c r="K619" s="84"/>
      <c r="L619" s="4" t="str">
        <f>"          INPUT TRUE-UP ARR (WITH &amp; WITHOUT INCENTIVES) FROM EACH PRIOR YEAR"</f>
        <v xml:space="preserve">          INPUT TRUE-UP ARR (WITH &amp; WITHOUT INCENTIVES) FROM EACH PRIOR YEAR</v>
      </c>
      <c r="Q619" s="84"/>
    </row>
    <row r="620" spans="1:17">
      <c r="A620" s="978"/>
      <c r="C620" s="494" t="s">
        <v>280</v>
      </c>
      <c r="D620" s="498">
        <f>H79</f>
        <v>38</v>
      </c>
      <c r="E620" s="494" t="s">
        <v>281</v>
      </c>
      <c r="F620" s="82"/>
      <c r="G620" s="82"/>
      <c r="I620"/>
      <c r="J620" s="497">
        <f>IF(H611="",J619,$F$69)</f>
        <v>0.11108872081308177</v>
      </c>
      <c r="K620" s="84"/>
      <c r="L620" s="4" t="s">
        <v>363</v>
      </c>
      <c r="M620" s="84"/>
      <c r="N620" s="84"/>
      <c r="O620" s="84"/>
      <c r="Q620" s="84"/>
    </row>
    <row r="621" spans="1:17" ht="13.5" thickBot="1">
      <c r="A621" s="978"/>
      <c r="C621" s="494" t="s">
        <v>282</v>
      </c>
      <c r="D621" s="649" t="s">
        <v>930</v>
      </c>
      <c r="E621" s="499" t="s">
        <v>283</v>
      </c>
      <c r="F621" s="500"/>
      <c r="G621" s="500"/>
      <c r="H621" s="501"/>
      <c r="I621" s="501"/>
      <c r="J621" s="488">
        <f>IF(D617=0,0,D617/D620)</f>
        <v>87259.322368421053</v>
      </c>
      <c r="K621" s="475"/>
      <c r="L621" s="475" t="s">
        <v>364</v>
      </c>
      <c r="M621" s="475"/>
      <c r="N621" s="475"/>
      <c r="O621" s="475"/>
      <c r="Q621" s="475"/>
    </row>
    <row r="622" spans="1:17" ht="38.25">
      <c r="A622" s="12"/>
      <c r="B622" s="12"/>
      <c r="C622" s="502" t="s">
        <v>273</v>
      </c>
      <c r="D622" s="503" t="s">
        <v>284</v>
      </c>
      <c r="E622" s="504" t="s">
        <v>285</v>
      </c>
      <c r="F622" s="503" t="s">
        <v>286</v>
      </c>
      <c r="G622" s="503" t="s">
        <v>459</v>
      </c>
      <c r="H622" s="504" t="s">
        <v>357</v>
      </c>
      <c r="I622" s="505" t="s">
        <v>357</v>
      </c>
      <c r="J622" s="502" t="s">
        <v>296</v>
      </c>
      <c r="K622" s="506"/>
      <c r="L622" s="504" t="s">
        <v>359</v>
      </c>
      <c r="M622" s="504" t="s">
        <v>365</v>
      </c>
      <c r="N622" s="504" t="s">
        <v>359</v>
      </c>
      <c r="O622" s="504" t="s">
        <v>367</v>
      </c>
      <c r="P622" s="504" t="s">
        <v>287</v>
      </c>
      <c r="Q622" s="131"/>
    </row>
    <row r="623" spans="1:17" ht="13.5" thickBot="1">
      <c r="C623" s="507" t="s">
        <v>178</v>
      </c>
      <c r="D623" s="508" t="s">
        <v>179</v>
      </c>
      <c r="E623" s="507" t="s">
        <v>38</v>
      </c>
      <c r="F623" s="508" t="s">
        <v>179</v>
      </c>
      <c r="G623" s="508" t="s">
        <v>179</v>
      </c>
      <c r="H623" s="509" t="s">
        <v>299</v>
      </c>
      <c r="I623" s="510" t="s">
        <v>301</v>
      </c>
      <c r="J623" s="507" t="s">
        <v>390</v>
      </c>
      <c r="K623" s="511"/>
      <c r="L623" s="509" t="s">
        <v>288</v>
      </c>
      <c r="M623" s="509" t="s">
        <v>288</v>
      </c>
      <c r="N623" s="509" t="s">
        <v>468</v>
      </c>
      <c r="O623" s="509" t="s">
        <v>468</v>
      </c>
      <c r="P623" s="509" t="s">
        <v>468</v>
      </c>
      <c r="Q623" s="138"/>
    </row>
    <row r="624" spans="1:17">
      <c r="C624" s="512">
        <f>IF(D618= "","-",D618)</f>
        <v>2016</v>
      </c>
      <c r="D624" s="477">
        <f>+D617</f>
        <v>3315854.25</v>
      </c>
      <c r="E624" s="513">
        <f>+J621/12*(12-D619)</f>
        <v>0</v>
      </c>
      <c r="F624" s="556">
        <f t="shared" ref="F624:F683" si="57">+D624-E624</f>
        <v>3315854.25</v>
      </c>
      <c r="G624" s="477">
        <f t="shared" ref="G624:G683" si="58">+(D624+F624)/2</f>
        <v>3315854.25</v>
      </c>
      <c r="H624" s="514">
        <f>+J619*G624+E624</f>
        <v>368354.00703512062</v>
      </c>
      <c r="I624" s="515">
        <f>+J620*G624+E624</f>
        <v>368354.00703512062</v>
      </c>
      <c r="J624" s="516">
        <f t="shared" ref="J624:J683" si="59">+I624-H624</f>
        <v>0</v>
      </c>
      <c r="K624" s="516"/>
      <c r="L624" s="517">
        <v>486138</v>
      </c>
      <c r="M624" s="557">
        <f>IF(L624&lt;&gt;0,+H624-L624,0)</f>
        <v>-117783.99296487938</v>
      </c>
      <c r="N624" s="517">
        <v>486138</v>
      </c>
      <c r="O624" s="557">
        <f t="shared" ref="O624:O683" si="60">IF(N624&lt;&gt;0,+I624-N624,0)</f>
        <v>-117783.99296487938</v>
      </c>
      <c r="P624" s="557">
        <f t="shared" ref="P624:P683" si="61">+O624-M624</f>
        <v>0</v>
      </c>
      <c r="Q624" s="479"/>
    </row>
    <row r="625" spans="3:17">
      <c r="C625" s="512">
        <f>IF(D618="","-",+C624+1)</f>
        <v>2017</v>
      </c>
      <c r="D625" s="477">
        <f t="shared" ref="D625:D683" si="62">F624</f>
        <v>3315854.25</v>
      </c>
      <c r="E625" s="519">
        <f>IF(D625&gt;$J$621,$J$621,D625)</f>
        <v>87259.322368421053</v>
      </c>
      <c r="F625" s="519">
        <f t="shared" si="57"/>
        <v>3228594.9276315789</v>
      </c>
      <c r="G625" s="477">
        <f t="shared" si="58"/>
        <v>3272224.5888157897</v>
      </c>
      <c r="H625" s="513">
        <f>+J619*G625+E625</f>
        <v>450766.56615307962</v>
      </c>
      <c r="I625" s="520">
        <f>+J620*G625+E625</f>
        <v>450766.56615307962</v>
      </c>
      <c r="J625" s="516">
        <f t="shared" si="59"/>
        <v>0</v>
      </c>
      <c r="K625" s="516"/>
      <c r="L625" s="521">
        <v>574408</v>
      </c>
      <c r="M625" s="516">
        <f>IF(L625&lt;&gt;0,+H625-L625,0)</f>
        <v>-123641.43384692038</v>
      </c>
      <c r="N625" s="521">
        <v>574408</v>
      </c>
      <c r="O625" s="516">
        <f t="shared" si="60"/>
        <v>-123641.43384692038</v>
      </c>
      <c r="P625" s="516">
        <f t="shared" si="61"/>
        <v>0</v>
      </c>
      <c r="Q625" s="479"/>
    </row>
    <row r="626" spans="3:17">
      <c r="C626" s="512">
        <f>IF(D618="","-",+C625+1)</f>
        <v>2018</v>
      </c>
      <c r="D626" s="477">
        <f t="shared" si="62"/>
        <v>3228594.9276315789</v>
      </c>
      <c r="E626" s="519">
        <f t="shared" ref="E626:E683" si="63">IF(D626&gt;$J$621,$J$621,D626)</f>
        <v>87259.322368421053</v>
      </c>
      <c r="F626" s="519">
        <f t="shared" si="57"/>
        <v>3141335.6052631577</v>
      </c>
      <c r="G626" s="477">
        <f t="shared" si="58"/>
        <v>3184965.2664473681</v>
      </c>
      <c r="H626" s="513">
        <f>+J619*G626+E626</f>
        <v>441073.0396521553</v>
      </c>
      <c r="I626" s="520">
        <f>+J620*G626+E626</f>
        <v>441073.0396521553</v>
      </c>
      <c r="J626" s="516">
        <f t="shared" si="59"/>
        <v>0</v>
      </c>
      <c r="K626" s="516"/>
      <c r="L626" s="521">
        <v>355679</v>
      </c>
      <c r="M626" s="516">
        <f>IF(L626&lt;&gt;0,+H626-L626,0)</f>
        <v>85394.039652155305</v>
      </c>
      <c r="N626" s="521">
        <v>355679</v>
      </c>
      <c r="O626" s="516">
        <f t="shared" si="60"/>
        <v>85394.039652155305</v>
      </c>
      <c r="P626" s="516">
        <f t="shared" si="61"/>
        <v>0</v>
      </c>
      <c r="Q626" s="479"/>
    </row>
    <row r="627" spans="3:17">
      <c r="C627" s="512">
        <f>IF(D618="","-",+C626+1)</f>
        <v>2019</v>
      </c>
      <c r="D627" s="477">
        <f t="shared" si="62"/>
        <v>3141335.6052631577</v>
      </c>
      <c r="E627" s="519">
        <f t="shared" si="63"/>
        <v>87259.322368421053</v>
      </c>
      <c r="F627" s="519">
        <f t="shared" si="57"/>
        <v>3054076.2828947366</v>
      </c>
      <c r="G627" s="477">
        <f t="shared" si="58"/>
        <v>3097705.9440789474</v>
      </c>
      <c r="H627" s="513">
        <f>+J619*G627+E627</f>
        <v>431379.51315123116</v>
      </c>
      <c r="I627" s="520">
        <f>+J620*G627+E627</f>
        <v>431379.51315123116</v>
      </c>
      <c r="J627" s="516">
        <f t="shared" si="59"/>
        <v>0</v>
      </c>
      <c r="K627" s="516"/>
      <c r="L627" s="521">
        <v>374138.83404404536</v>
      </c>
      <c r="M627" s="516">
        <f t="shared" ref="M627:M683" si="64">IF(L627&lt;&gt;0,+H627-L627,0)</f>
        <v>57240.679107185802</v>
      </c>
      <c r="N627" s="521">
        <v>374138.83404404536</v>
      </c>
      <c r="O627" s="516">
        <f t="shared" si="60"/>
        <v>57240.679107185802</v>
      </c>
      <c r="P627" s="516">
        <f t="shared" si="61"/>
        <v>0</v>
      </c>
      <c r="Q627" s="479"/>
    </row>
    <row r="628" spans="3:17">
      <c r="C628" s="512">
        <f>IF(D618="","-",+C627+1)</f>
        <v>2020</v>
      </c>
      <c r="D628" s="477">
        <f t="shared" si="62"/>
        <v>3054076.2828947366</v>
      </c>
      <c r="E628" s="519">
        <f t="shared" si="63"/>
        <v>87259.322368421053</v>
      </c>
      <c r="F628" s="519">
        <f t="shared" si="57"/>
        <v>2966816.9605263155</v>
      </c>
      <c r="G628" s="477">
        <f t="shared" si="58"/>
        <v>3010446.6217105258</v>
      </c>
      <c r="H628" s="513">
        <f>+J619*G628+E628</f>
        <v>421685.98665030685</v>
      </c>
      <c r="I628" s="520">
        <f>+J620*G628+E628</f>
        <v>421685.98665030685</v>
      </c>
      <c r="J628" s="516">
        <f t="shared" si="59"/>
        <v>0</v>
      </c>
      <c r="K628" s="516"/>
      <c r="L628" s="521">
        <v>376070.79773197492</v>
      </c>
      <c r="M628" s="516">
        <f t="shared" si="64"/>
        <v>45615.188918331929</v>
      </c>
      <c r="N628" s="521">
        <v>376070.79773197492</v>
      </c>
      <c r="O628" s="516">
        <f t="shared" si="60"/>
        <v>45615.188918331929</v>
      </c>
      <c r="P628" s="516">
        <f t="shared" si="61"/>
        <v>0</v>
      </c>
      <c r="Q628" s="479"/>
    </row>
    <row r="629" spans="3:17">
      <c r="C629" s="512">
        <f>IF(D618="","-",+C628+1)</f>
        <v>2021</v>
      </c>
      <c r="D629" s="477">
        <f t="shared" si="62"/>
        <v>2966816.9605263155</v>
      </c>
      <c r="E629" s="519">
        <f t="shared" si="63"/>
        <v>87259.322368421053</v>
      </c>
      <c r="F629" s="519">
        <f t="shared" si="57"/>
        <v>2879557.6381578944</v>
      </c>
      <c r="G629" s="477">
        <f t="shared" si="58"/>
        <v>2923187.2993421052</v>
      </c>
      <c r="H629" s="513">
        <f>+J619*G629+E629</f>
        <v>411992.46014938271</v>
      </c>
      <c r="I629" s="520">
        <f>+J620*G629+E629</f>
        <v>411992.46014938271</v>
      </c>
      <c r="J629" s="516">
        <f t="shared" si="59"/>
        <v>0</v>
      </c>
      <c r="K629" s="516"/>
      <c r="L629" s="521">
        <v>373465.18715784856</v>
      </c>
      <c r="M629" s="516">
        <f t="shared" si="64"/>
        <v>38527.272991534148</v>
      </c>
      <c r="N629" s="521">
        <v>373465.18715784856</v>
      </c>
      <c r="O629" s="516">
        <f t="shared" si="60"/>
        <v>38527.272991534148</v>
      </c>
      <c r="P629" s="516">
        <f t="shared" si="61"/>
        <v>0</v>
      </c>
      <c r="Q629" s="479"/>
    </row>
    <row r="630" spans="3:17">
      <c r="C630" s="512">
        <f>IF(D618="","-",+C629+1)</f>
        <v>2022</v>
      </c>
      <c r="D630" s="477">
        <f t="shared" si="62"/>
        <v>2879557.6381578944</v>
      </c>
      <c r="E630" s="519">
        <f t="shared" si="63"/>
        <v>87259.322368421053</v>
      </c>
      <c r="F630" s="519">
        <f t="shared" si="57"/>
        <v>2792298.3157894732</v>
      </c>
      <c r="G630" s="477">
        <f t="shared" si="58"/>
        <v>2835927.9769736836</v>
      </c>
      <c r="H630" s="513">
        <f>+J619*G630+E630</f>
        <v>402298.93364845839</v>
      </c>
      <c r="I630" s="520">
        <f>+J620*G630+E630</f>
        <v>402298.93364845839</v>
      </c>
      <c r="J630" s="516">
        <f t="shared" si="59"/>
        <v>0</v>
      </c>
      <c r="K630" s="516"/>
      <c r="L630" s="521">
        <v>380259.72499343357</v>
      </c>
      <c r="M630" s="516">
        <f t="shared" si="64"/>
        <v>22039.20865502482</v>
      </c>
      <c r="N630" s="521">
        <v>380259.72499343357</v>
      </c>
      <c r="O630" s="516">
        <f t="shared" si="60"/>
        <v>22039.20865502482</v>
      </c>
      <c r="P630" s="516">
        <f t="shared" si="61"/>
        <v>0</v>
      </c>
      <c r="Q630" s="479"/>
    </row>
    <row r="631" spans="3:17">
      <c r="C631" s="512">
        <f>IF(D618="","-",+C630+1)</f>
        <v>2023</v>
      </c>
      <c r="D631" s="477">
        <f t="shared" si="62"/>
        <v>2792298.3157894732</v>
      </c>
      <c r="E631" s="519">
        <f t="shared" si="63"/>
        <v>87259.322368421053</v>
      </c>
      <c r="F631" s="519">
        <f t="shared" si="57"/>
        <v>2705038.9934210521</v>
      </c>
      <c r="G631" s="477">
        <f t="shared" si="58"/>
        <v>2748668.6546052629</v>
      </c>
      <c r="H631" s="513">
        <f>+J619*G631+E631</f>
        <v>392605.40714753419</v>
      </c>
      <c r="I631" s="520">
        <f>+J620*G631+E631</f>
        <v>392605.40714753419</v>
      </c>
      <c r="J631" s="516">
        <f t="shared" si="59"/>
        <v>0</v>
      </c>
      <c r="K631" s="516"/>
      <c r="L631" s="521">
        <v>404773.99293290445</v>
      </c>
      <c r="M631" s="516">
        <f t="shared" si="64"/>
        <v>-12168.585785370262</v>
      </c>
      <c r="N631" s="521">
        <v>404773.99293290445</v>
      </c>
      <c r="O631" s="516">
        <f t="shared" si="60"/>
        <v>-12168.585785370262</v>
      </c>
      <c r="P631" s="516">
        <f t="shared" si="61"/>
        <v>0</v>
      </c>
      <c r="Q631" s="479"/>
    </row>
    <row r="632" spans="3:17">
      <c r="C632" s="512">
        <f>IF(D618="","-",+C631+1)</f>
        <v>2024</v>
      </c>
      <c r="D632" s="477">
        <f t="shared" si="62"/>
        <v>2705038.9934210521</v>
      </c>
      <c r="E632" s="519">
        <f t="shared" si="63"/>
        <v>87259.322368421053</v>
      </c>
      <c r="F632" s="519">
        <f t="shared" si="57"/>
        <v>2617779.671052631</v>
      </c>
      <c r="G632" s="477">
        <f t="shared" si="58"/>
        <v>2661409.3322368413</v>
      </c>
      <c r="H632" s="513">
        <f>+J619*G632+E632</f>
        <v>382911.88064660993</v>
      </c>
      <c r="I632" s="520">
        <f>+J620*G632+E632</f>
        <v>382911.88064660993</v>
      </c>
      <c r="J632" s="516">
        <f t="shared" si="59"/>
        <v>0</v>
      </c>
      <c r="K632" s="516"/>
      <c r="L632" s="521">
        <v>408437.03492350853</v>
      </c>
      <c r="M632" s="516">
        <f t="shared" si="64"/>
        <v>-25525.154276898596</v>
      </c>
      <c r="N632" s="521">
        <v>408437.03492350853</v>
      </c>
      <c r="O632" s="516">
        <f t="shared" si="60"/>
        <v>-25525.154276898596</v>
      </c>
      <c r="P632" s="516">
        <f t="shared" si="61"/>
        <v>0</v>
      </c>
      <c r="Q632" s="479"/>
    </row>
    <row r="633" spans="3:17">
      <c r="C633" s="512">
        <f>IF(D618="","-",+C632+1)</f>
        <v>2025</v>
      </c>
      <c r="D633" s="477">
        <f t="shared" si="62"/>
        <v>2617779.671052631</v>
      </c>
      <c r="E633" s="519">
        <f t="shared" si="63"/>
        <v>87259.322368421053</v>
      </c>
      <c r="F633" s="519">
        <f t="shared" si="57"/>
        <v>2530520.3486842099</v>
      </c>
      <c r="G633" s="477">
        <f t="shared" si="58"/>
        <v>2574150.0098684207</v>
      </c>
      <c r="H633" s="513">
        <f>+J619*G633+E633</f>
        <v>373218.35414568573</v>
      </c>
      <c r="I633" s="520">
        <f>+J620*G633+E633</f>
        <v>373218.35414568573</v>
      </c>
      <c r="J633" s="516">
        <f t="shared" si="59"/>
        <v>0</v>
      </c>
      <c r="K633" s="516"/>
      <c r="L633" s="521">
        <v>391239.09302340285</v>
      </c>
      <c r="M633" s="516">
        <f t="shared" si="64"/>
        <v>-18020.738877717115</v>
      </c>
      <c r="N633" s="521">
        <v>391239.09302340285</v>
      </c>
      <c r="O633" s="516">
        <f t="shared" si="60"/>
        <v>-18020.738877717115</v>
      </c>
      <c r="P633" s="516">
        <f t="shared" si="61"/>
        <v>0</v>
      </c>
      <c r="Q633" s="479"/>
    </row>
    <row r="634" spans="3:17">
      <c r="C634" s="512">
        <f>IF(D618="","-",+C633+1)</f>
        <v>2026</v>
      </c>
      <c r="D634" s="477">
        <f t="shared" si="62"/>
        <v>2530520.3486842099</v>
      </c>
      <c r="E634" s="519">
        <f t="shared" si="63"/>
        <v>87259.322368421053</v>
      </c>
      <c r="F634" s="519">
        <f t="shared" si="57"/>
        <v>2443261.0263157887</v>
      </c>
      <c r="G634" s="477">
        <f t="shared" si="58"/>
        <v>2486890.6874999991</v>
      </c>
      <c r="H634" s="513">
        <f>+J619*G634+E634</f>
        <v>363524.82764476142</v>
      </c>
      <c r="I634" s="520">
        <f>+J620*G634+E634</f>
        <v>363524.82764476142</v>
      </c>
      <c r="J634" s="516">
        <f t="shared" si="59"/>
        <v>0</v>
      </c>
      <c r="K634" s="516"/>
      <c r="L634" s="521"/>
      <c r="M634" s="516">
        <f t="shared" si="64"/>
        <v>0</v>
      </c>
      <c r="N634" s="521"/>
      <c r="O634" s="516">
        <f t="shared" si="60"/>
        <v>0</v>
      </c>
      <c r="P634" s="516">
        <f t="shared" si="61"/>
        <v>0</v>
      </c>
      <c r="Q634" s="479"/>
    </row>
    <row r="635" spans="3:17">
      <c r="C635" s="512">
        <f>IF(D618="","-",+C634+1)</f>
        <v>2027</v>
      </c>
      <c r="D635" s="477">
        <f t="shared" si="62"/>
        <v>2443261.0263157887</v>
      </c>
      <c r="E635" s="519">
        <f t="shared" si="63"/>
        <v>87259.322368421053</v>
      </c>
      <c r="F635" s="519">
        <f t="shared" si="57"/>
        <v>2356001.7039473676</v>
      </c>
      <c r="G635" s="477">
        <f t="shared" si="58"/>
        <v>2399631.3651315784</v>
      </c>
      <c r="H635" s="513">
        <f>+J619*G635+E635</f>
        <v>353831.30114383728</v>
      </c>
      <c r="I635" s="520">
        <f>+J620*G635+E635</f>
        <v>353831.30114383728</v>
      </c>
      <c r="J635" s="516">
        <f t="shared" si="59"/>
        <v>0</v>
      </c>
      <c r="K635" s="516"/>
      <c r="L635" s="521"/>
      <c r="M635" s="516">
        <f t="shared" si="64"/>
        <v>0</v>
      </c>
      <c r="N635" s="521"/>
      <c r="O635" s="516">
        <f t="shared" si="60"/>
        <v>0</v>
      </c>
      <c r="P635" s="516">
        <f t="shared" si="61"/>
        <v>0</v>
      </c>
      <c r="Q635" s="479"/>
    </row>
    <row r="636" spans="3:17">
      <c r="C636" s="512">
        <f>IF(D618="","-",+C635+1)</f>
        <v>2028</v>
      </c>
      <c r="D636" s="477">
        <f t="shared" si="62"/>
        <v>2356001.7039473676</v>
      </c>
      <c r="E636" s="519">
        <f t="shared" si="63"/>
        <v>87259.322368421053</v>
      </c>
      <c r="F636" s="519">
        <f t="shared" si="57"/>
        <v>2268742.3815789465</v>
      </c>
      <c r="G636" s="477">
        <f t="shared" si="58"/>
        <v>2312372.0427631568</v>
      </c>
      <c r="H636" s="513">
        <f>+J619*G636+E636</f>
        <v>344137.77464291296</v>
      </c>
      <c r="I636" s="520">
        <f>+J620*G636+E636</f>
        <v>344137.77464291296</v>
      </c>
      <c r="J636" s="516">
        <f t="shared" si="59"/>
        <v>0</v>
      </c>
      <c r="K636" s="516"/>
      <c r="L636" s="521"/>
      <c r="M636" s="516">
        <f t="shared" si="64"/>
        <v>0</v>
      </c>
      <c r="N636" s="521"/>
      <c r="O636" s="516">
        <f t="shared" si="60"/>
        <v>0</v>
      </c>
      <c r="P636" s="516">
        <f t="shared" si="61"/>
        <v>0</v>
      </c>
      <c r="Q636" s="479"/>
    </row>
    <row r="637" spans="3:17">
      <c r="C637" s="512">
        <f>IF(D618="","-",+C636+1)</f>
        <v>2029</v>
      </c>
      <c r="D637" s="477">
        <f t="shared" si="62"/>
        <v>2268742.3815789465</v>
      </c>
      <c r="E637" s="519">
        <f t="shared" si="63"/>
        <v>87259.322368421053</v>
      </c>
      <c r="F637" s="519">
        <f t="shared" si="57"/>
        <v>2181483.0592105254</v>
      </c>
      <c r="G637" s="477">
        <f t="shared" si="58"/>
        <v>2225112.7203947362</v>
      </c>
      <c r="H637" s="513">
        <f>+J619*G637+E637</f>
        <v>334444.24814198876</v>
      </c>
      <c r="I637" s="520">
        <f>+J620*G637+E637</f>
        <v>334444.24814198876</v>
      </c>
      <c r="J637" s="516">
        <f t="shared" si="59"/>
        <v>0</v>
      </c>
      <c r="K637" s="516"/>
      <c r="L637" s="521"/>
      <c r="M637" s="516">
        <f t="shared" si="64"/>
        <v>0</v>
      </c>
      <c r="N637" s="521"/>
      <c r="O637" s="516">
        <f t="shared" si="60"/>
        <v>0</v>
      </c>
      <c r="P637" s="516">
        <f t="shared" si="61"/>
        <v>0</v>
      </c>
      <c r="Q637" s="479"/>
    </row>
    <row r="638" spans="3:17">
      <c r="C638" s="512">
        <f>IF(D618="","-",+C637+1)</f>
        <v>2030</v>
      </c>
      <c r="D638" s="477">
        <f t="shared" si="62"/>
        <v>2181483.0592105254</v>
      </c>
      <c r="E638" s="519">
        <f t="shared" si="63"/>
        <v>87259.322368421053</v>
      </c>
      <c r="F638" s="519">
        <f t="shared" si="57"/>
        <v>2094223.7368421042</v>
      </c>
      <c r="G638" s="477">
        <f t="shared" si="58"/>
        <v>2137853.3980263146</v>
      </c>
      <c r="H638" s="513">
        <f>+J619*G638+E638</f>
        <v>324750.72164106451</v>
      </c>
      <c r="I638" s="520">
        <f>+J620*G638+E638</f>
        <v>324750.72164106451</v>
      </c>
      <c r="J638" s="516">
        <f t="shared" si="59"/>
        <v>0</v>
      </c>
      <c r="K638" s="516"/>
      <c r="L638" s="521"/>
      <c r="M638" s="516">
        <f t="shared" si="64"/>
        <v>0</v>
      </c>
      <c r="N638" s="521"/>
      <c r="O638" s="516">
        <f t="shared" si="60"/>
        <v>0</v>
      </c>
      <c r="P638" s="516">
        <f t="shared" si="61"/>
        <v>0</v>
      </c>
      <c r="Q638" s="479"/>
    </row>
    <row r="639" spans="3:17">
      <c r="C639" s="512">
        <f>IF(D618="","-",+C638+1)</f>
        <v>2031</v>
      </c>
      <c r="D639" s="477">
        <f t="shared" si="62"/>
        <v>2094223.7368421042</v>
      </c>
      <c r="E639" s="519">
        <f t="shared" si="63"/>
        <v>87259.322368421053</v>
      </c>
      <c r="F639" s="519">
        <f t="shared" si="57"/>
        <v>2006964.4144736831</v>
      </c>
      <c r="G639" s="477">
        <f t="shared" si="58"/>
        <v>2050594.0756578937</v>
      </c>
      <c r="H639" s="513">
        <f>+J619*G639+E639</f>
        <v>315057.19514014031</v>
      </c>
      <c r="I639" s="520">
        <f>+J620*G639+E639</f>
        <v>315057.19514014031</v>
      </c>
      <c r="J639" s="516">
        <f t="shared" si="59"/>
        <v>0</v>
      </c>
      <c r="K639" s="516"/>
      <c r="L639" s="521"/>
      <c r="M639" s="516">
        <f t="shared" si="64"/>
        <v>0</v>
      </c>
      <c r="N639" s="521"/>
      <c r="O639" s="516">
        <f t="shared" si="60"/>
        <v>0</v>
      </c>
      <c r="P639" s="516">
        <f t="shared" si="61"/>
        <v>0</v>
      </c>
      <c r="Q639" s="479"/>
    </row>
    <row r="640" spans="3:17">
      <c r="C640" s="512">
        <f>IF(D618="","-",+C639+1)</f>
        <v>2032</v>
      </c>
      <c r="D640" s="477">
        <f t="shared" si="62"/>
        <v>2006964.4144736831</v>
      </c>
      <c r="E640" s="519">
        <f t="shared" si="63"/>
        <v>87259.322368421053</v>
      </c>
      <c r="F640" s="519">
        <f t="shared" si="57"/>
        <v>1919705.092105262</v>
      </c>
      <c r="G640" s="477">
        <f t="shared" si="58"/>
        <v>1963334.7532894725</v>
      </c>
      <c r="H640" s="513">
        <f>+J619*G640+E640</f>
        <v>305363.66863921605</v>
      </c>
      <c r="I640" s="520">
        <f>+J620*G640+E640</f>
        <v>305363.66863921605</v>
      </c>
      <c r="J640" s="516">
        <f t="shared" si="59"/>
        <v>0</v>
      </c>
      <c r="K640" s="516"/>
      <c r="L640" s="521"/>
      <c r="M640" s="516">
        <f t="shared" si="64"/>
        <v>0</v>
      </c>
      <c r="N640" s="521"/>
      <c r="O640" s="516">
        <f t="shared" si="60"/>
        <v>0</v>
      </c>
      <c r="P640" s="516">
        <f t="shared" si="61"/>
        <v>0</v>
      </c>
      <c r="Q640" s="479"/>
    </row>
    <row r="641" spans="3:17">
      <c r="C641" s="512">
        <f>IF(D618="","-",+C640+1)</f>
        <v>2033</v>
      </c>
      <c r="D641" s="477">
        <f t="shared" si="62"/>
        <v>1919705.092105262</v>
      </c>
      <c r="E641" s="519">
        <f t="shared" si="63"/>
        <v>87259.322368421053</v>
      </c>
      <c r="F641" s="519">
        <f t="shared" si="57"/>
        <v>1832445.7697368409</v>
      </c>
      <c r="G641" s="477">
        <f t="shared" si="58"/>
        <v>1876075.4309210514</v>
      </c>
      <c r="H641" s="513">
        <f>+J619*G641+E641</f>
        <v>295670.14213829179</v>
      </c>
      <c r="I641" s="520">
        <f>+J620*G641+E641</f>
        <v>295670.14213829179</v>
      </c>
      <c r="J641" s="516">
        <f t="shared" si="59"/>
        <v>0</v>
      </c>
      <c r="K641" s="516"/>
      <c r="L641" s="521"/>
      <c r="M641" s="516">
        <f t="shared" si="64"/>
        <v>0</v>
      </c>
      <c r="N641" s="521"/>
      <c r="O641" s="516">
        <f t="shared" si="60"/>
        <v>0</v>
      </c>
      <c r="P641" s="516">
        <f t="shared" si="61"/>
        <v>0</v>
      </c>
      <c r="Q641" s="479"/>
    </row>
    <row r="642" spans="3:17">
      <c r="C642" s="512">
        <f>IF(D618="","-",+C641+1)</f>
        <v>2034</v>
      </c>
      <c r="D642" s="477">
        <f t="shared" si="62"/>
        <v>1832445.7697368409</v>
      </c>
      <c r="E642" s="519">
        <f t="shared" si="63"/>
        <v>87259.322368421053</v>
      </c>
      <c r="F642" s="519">
        <f t="shared" si="57"/>
        <v>1745186.4473684197</v>
      </c>
      <c r="G642" s="477">
        <f t="shared" si="58"/>
        <v>1788816.1085526303</v>
      </c>
      <c r="H642" s="513">
        <f>+J619*G642+E642</f>
        <v>285976.61563736759</v>
      </c>
      <c r="I642" s="520">
        <f>+J620*G642+E642</f>
        <v>285976.61563736759</v>
      </c>
      <c r="J642" s="516">
        <f t="shared" si="59"/>
        <v>0</v>
      </c>
      <c r="K642" s="516"/>
      <c r="L642" s="521"/>
      <c r="M642" s="516">
        <f t="shared" si="64"/>
        <v>0</v>
      </c>
      <c r="N642" s="521"/>
      <c r="O642" s="516">
        <f t="shared" si="60"/>
        <v>0</v>
      </c>
      <c r="P642" s="516">
        <f t="shared" si="61"/>
        <v>0</v>
      </c>
      <c r="Q642" s="479"/>
    </row>
    <row r="643" spans="3:17">
      <c r="C643" s="512">
        <f>IF(D618="","-",+C642+1)</f>
        <v>2035</v>
      </c>
      <c r="D643" s="477">
        <f t="shared" si="62"/>
        <v>1745186.4473684197</v>
      </c>
      <c r="E643" s="519">
        <f t="shared" si="63"/>
        <v>87259.322368421053</v>
      </c>
      <c r="F643" s="519">
        <f t="shared" si="57"/>
        <v>1657927.1249999986</v>
      </c>
      <c r="G643" s="477">
        <f t="shared" si="58"/>
        <v>1701556.7861842092</v>
      </c>
      <c r="H643" s="513">
        <f>+J619*G643+E643</f>
        <v>276283.08913644333</v>
      </c>
      <c r="I643" s="520">
        <f>+J620*G643+E643</f>
        <v>276283.08913644333</v>
      </c>
      <c r="J643" s="516">
        <f t="shared" si="59"/>
        <v>0</v>
      </c>
      <c r="K643" s="516"/>
      <c r="L643" s="521"/>
      <c r="M643" s="516">
        <f t="shared" si="64"/>
        <v>0</v>
      </c>
      <c r="N643" s="521"/>
      <c r="O643" s="516">
        <f t="shared" si="60"/>
        <v>0</v>
      </c>
      <c r="P643" s="516">
        <f t="shared" si="61"/>
        <v>0</v>
      </c>
      <c r="Q643" s="479"/>
    </row>
    <row r="644" spans="3:17">
      <c r="C644" s="512">
        <f>IF(D618="","-",+C643+1)</f>
        <v>2036</v>
      </c>
      <c r="D644" s="477">
        <f t="shared" si="62"/>
        <v>1657927.1249999986</v>
      </c>
      <c r="E644" s="519">
        <f t="shared" si="63"/>
        <v>87259.322368421053</v>
      </c>
      <c r="F644" s="519">
        <f t="shared" si="57"/>
        <v>1570667.8026315775</v>
      </c>
      <c r="G644" s="477">
        <f t="shared" si="58"/>
        <v>1614297.463815788</v>
      </c>
      <c r="H644" s="513">
        <f>+J619*G644+E644</f>
        <v>266589.56263551908</v>
      </c>
      <c r="I644" s="520">
        <f>+J620*G644+E644</f>
        <v>266589.56263551908</v>
      </c>
      <c r="J644" s="516">
        <f t="shared" si="59"/>
        <v>0</v>
      </c>
      <c r="K644" s="516"/>
      <c r="L644" s="521"/>
      <c r="M644" s="516">
        <f t="shared" si="64"/>
        <v>0</v>
      </c>
      <c r="N644" s="521"/>
      <c r="O644" s="516">
        <f t="shared" si="60"/>
        <v>0</v>
      </c>
      <c r="P644" s="516">
        <f t="shared" si="61"/>
        <v>0</v>
      </c>
      <c r="Q644" s="479"/>
    </row>
    <row r="645" spans="3:17">
      <c r="C645" s="512">
        <f>IF(D618="","-",+C644+1)</f>
        <v>2037</v>
      </c>
      <c r="D645" s="477">
        <f t="shared" si="62"/>
        <v>1570667.8026315775</v>
      </c>
      <c r="E645" s="519">
        <f t="shared" si="63"/>
        <v>87259.322368421053</v>
      </c>
      <c r="F645" s="519">
        <f t="shared" si="57"/>
        <v>1483408.4802631564</v>
      </c>
      <c r="G645" s="477">
        <f t="shared" si="58"/>
        <v>1527038.1414473669</v>
      </c>
      <c r="H645" s="513">
        <f>+J619*G645+E645</f>
        <v>256896.03613459488</v>
      </c>
      <c r="I645" s="520">
        <f>+J620*G645+E645</f>
        <v>256896.03613459488</v>
      </c>
      <c r="J645" s="516">
        <f t="shared" si="59"/>
        <v>0</v>
      </c>
      <c r="K645" s="516"/>
      <c r="L645" s="521"/>
      <c r="M645" s="516">
        <f t="shared" si="64"/>
        <v>0</v>
      </c>
      <c r="N645" s="521"/>
      <c r="O645" s="516">
        <f t="shared" si="60"/>
        <v>0</v>
      </c>
      <c r="P645" s="516">
        <f t="shared" si="61"/>
        <v>0</v>
      </c>
      <c r="Q645" s="479"/>
    </row>
    <row r="646" spans="3:17">
      <c r="C646" s="512">
        <f>IF(D618="","-",+C645+1)</f>
        <v>2038</v>
      </c>
      <c r="D646" s="477">
        <f t="shared" si="62"/>
        <v>1483408.4802631564</v>
      </c>
      <c r="E646" s="519">
        <f t="shared" si="63"/>
        <v>87259.322368421053</v>
      </c>
      <c r="F646" s="519">
        <f t="shared" si="57"/>
        <v>1396149.1578947352</v>
      </c>
      <c r="G646" s="477">
        <f t="shared" si="58"/>
        <v>1439778.8190789458</v>
      </c>
      <c r="H646" s="513">
        <f>+J619*G646+E646</f>
        <v>247202.50963367062</v>
      </c>
      <c r="I646" s="520">
        <f>+J620*G646+E646</f>
        <v>247202.50963367062</v>
      </c>
      <c r="J646" s="516">
        <f t="shared" si="59"/>
        <v>0</v>
      </c>
      <c r="K646" s="516"/>
      <c r="L646" s="521"/>
      <c r="M646" s="516">
        <f t="shared" si="64"/>
        <v>0</v>
      </c>
      <c r="N646" s="521"/>
      <c r="O646" s="516">
        <f t="shared" si="60"/>
        <v>0</v>
      </c>
      <c r="P646" s="516">
        <f t="shared" si="61"/>
        <v>0</v>
      </c>
      <c r="Q646" s="479"/>
    </row>
    <row r="647" spans="3:17">
      <c r="C647" s="512">
        <f>IF(D618="","-",+C646+1)</f>
        <v>2039</v>
      </c>
      <c r="D647" s="477">
        <f t="shared" si="62"/>
        <v>1396149.1578947352</v>
      </c>
      <c r="E647" s="519">
        <f t="shared" si="63"/>
        <v>87259.322368421053</v>
      </c>
      <c r="F647" s="519">
        <f t="shared" si="57"/>
        <v>1308889.8355263141</v>
      </c>
      <c r="G647" s="477">
        <f t="shared" si="58"/>
        <v>1352519.4967105247</v>
      </c>
      <c r="H647" s="513">
        <f>+J619*G647+E647</f>
        <v>237508.98313274642</v>
      </c>
      <c r="I647" s="520">
        <f>+J620*G647+E647</f>
        <v>237508.98313274642</v>
      </c>
      <c r="J647" s="516">
        <f t="shared" si="59"/>
        <v>0</v>
      </c>
      <c r="K647" s="516"/>
      <c r="L647" s="521"/>
      <c r="M647" s="516">
        <f t="shared" si="64"/>
        <v>0</v>
      </c>
      <c r="N647" s="521"/>
      <c r="O647" s="516">
        <f t="shared" si="60"/>
        <v>0</v>
      </c>
      <c r="P647" s="516">
        <f t="shared" si="61"/>
        <v>0</v>
      </c>
      <c r="Q647" s="479"/>
    </row>
    <row r="648" spans="3:17">
      <c r="C648" s="512">
        <f>IF(D618="","-",+C647+1)</f>
        <v>2040</v>
      </c>
      <c r="D648" s="477">
        <f t="shared" si="62"/>
        <v>1308889.8355263141</v>
      </c>
      <c r="E648" s="519">
        <f t="shared" si="63"/>
        <v>87259.322368421053</v>
      </c>
      <c r="F648" s="519">
        <f t="shared" si="57"/>
        <v>1221630.513157893</v>
      </c>
      <c r="G648" s="477">
        <f t="shared" si="58"/>
        <v>1265260.1743421035</v>
      </c>
      <c r="H648" s="513">
        <f>+J619*G648+E648</f>
        <v>227815.45663182216</v>
      </c>
      <c r="I648" s="520">
        <f>+J620*G648+E648</f>
        <v>227815.45663182216</v>
      </c>
      <c r="J648" s="516">
        <f t="shared" si="59"/>
        <v>0</v>
      </c>
      <c r="K648" s="516"/>
      <c r="L648" s="521"/>
      <c r="M648" s="516">
        <f t="shared" si="64"/>
        <v>0</v>
      </c>
      <c r="N648" s="521"/>
      <c r="O648" s="516">
        <f t="shared" si="60"/>
        <v>0</v>
      </c>
      <c r="P648" s="516">
        <f t="shared" si="61"/>
        <v>0</v>
      </c>
      <c r="Q648" s="479"/>
    </row>
    <row r="649" spans="3:17">
      <c r="C649" s="512">
        <f>IF(D618="","-",+C648+1)</f>
        <v>2041</v>
      </c>
      <c r="D649" s="477">
        <f t="shared" si="62"/>
        <v>1221630.513157893</v>
      </c>
      <c r="E649" s="519">
        <f t="shared" si="63"/>
        <v>87259.322368421053</v>
      </c>
      <c r="F649" s="519">
        <f t="shared" si="57"/>
        <v>1134371.1907894718</v>
      </c>
      <c r="G649" s="477">
        <f t="shared" si="58"/>
        <v>1178000.8519736824</v>
      </c>
      <c r="H649" s="513">
        <f>+J619*G649+E649</f>
        <v>218121.9301308979</v>
      </c>
      <c r="I649" s="520">
        <f>+J620*G649+E649</f>
        <v>218121.9301308979</v>
      </c>
      <c r="J649" s="516">
        <f t="shared" si="59"/>
        <v>0</v>
      </c>
      <c r="K649" s="516"/>
      <c r="L649" s="521"/>
      <c r="M649" s="516">
        <f t="shared" si="64"/>
        <v>0</v>
      </c>
      <c r="N649" s="521"/>
      <c r="O649" s="516">
        <f t="shared" si="60"/>
        <v>0</v>
      </c>
      <c r="P649" s="516">
        <f t="shared" si="61"/>
        <v>0</v>
      </c>
      <c r="Q649" s="479"/>
    </row>
    <row r="650" spans="3:17">
      <c r="C650" s="512">
        <f>IF(D618="","-",+C649+1)</f>
        <v>2042</v>
      </c>
      <c r="D650" s="477">
        <f t="shared" si="62"/>
        <v>1134371.1907894718</v>
      </c>
      <c r="E650" s="519">
        <f t="shared" si="63"/>
        <v>87259.322368421053</v>
      </c>
      <c r="F650" s="519">
        <f t="shared" si="57"/>
        <v>1047111.8684210508</v>
      </c>
      <c r="G650" s="477">
        <f t="shared" si="58"/>
        <v>1090741.5296052613</v>
      </c>
      <c r="H650" s="513">
        <f>+J619*G650+E650</f>
        <v>208428.40362997371</v>
      </c>
      <c r="I650" s="520">
        <f>+J620*G650+E650</f>
        <v>208428.40362997371</v>
      </c>
      <c r="J650" s="516">
        <f t="shared" si="59"/>
        <v>0</v>
      </c>
      <c r="K650" s="516"/>
      <c r="L650" s="521"/>
      <c r="M650" s="516">
        <f t="shared" si="64"/>
        <v>0</v>
      </c>
      <c r="N650" s="521"/>
      <c r="O650" s="516">
        <f t="shared" si="60"/>
        <v>0</v>
      </c>
      <c r="P650" s="516">
        <f t="shared" si="61"/>
        <v>0</v>
      </c>
      <c r="Q650" s="479"/>
    </row>
    <row r="651" spans="3:17">
      <c r="C651" s="512">
        <f>IF(D618="","-",+C650+1)</f>
        <v>2043</v>
      </c>
      <c r="D651" s="477">
        <f t="shared" si="62"/>
        <v>1047111.8684210508</v>
      </c>
      <c r="E651" s="519">
        <f t="shared" si="63"/>
        <v>87259.322368421053</v>
      </c>
      <c r="F651" s="519">
        <f t="shared" si="57"/>
        <v>959852.54605262983</v>
      </c>
      <c r="G651" s="477">
        <f t="shared" si="58"/>
        <v>1003482.2072368404</v>
      </c>
      <c r="H651" s="513">
        <f>+J619*G651+E651</f>
        <v>198734.87712904948</v>
      </c>
      <c r="I651" s="520">
        <f>+J620*G651+E651</f>
        <v>198734.87712904948</v>
      </c>
      <c r="J651" s="516">
        <f t="shared" si="59"/>
        <v>0</v>
      </c>
      <c r="K651" s="516"/>
      <c r="L651" s="521"/>
      <c r="M651" s="516">
        <f t="shared" si="64"/>
        <v>0</v>
      </c>
      <c r="N651" s="521"/>
      <c r="O651" s="516">
        <f t="shared" si="60"/>
        <v>0</v>
      </c>
      <c r="P651" s="516">
        <f t="shared" si="61"/>
        <v>0</v>
      </c>
      <c r="Q651" s="479"/>
    </row>
    <row r="652" spans="3:17">
      <c r="C652" s="512">
        <f>IF(D618="","-",+C651+1)</f>
        <v>2044</v>
      </c>
      <c r="D652" s="477">
        <f t="shared" si="62"/>
        <v>959852.54605262983</v>
      </c>
      <c r="E652" s="519">
        <f t="shared" si="63"/>
        <v>87259.322368421053</v>
      </c>
      <c r="F652" s="519">
        <f t="shared" si="57"/>
        <v>872593.22368420882</v>
      </c>
      <c r="G652" s="477">
        <f t="shared" si="58"/>
        <v>916222.88486841926</v>
      </c>
      <c r="H652" s="513">
        <f>+J619*G652+E652</f>
        <v>189041.35062812525</v>
      </c>
      <c r="I652" s="520">
        <f>+J620*G652+E652</f>
        <v>189041.35062812525</v>
      </c>
      <c r="J652" s="516">
        <f t="shared" si="59"/>
        <v>0</v>
      </c>
      <c r="K652" s="516"/>
      <c r="L652" s="521"/>
      <c r="M652" s="516">
        <f t="shared" si="64"/>
        <v>0</v>
      </c>
      <c r="N652" s="521"/>
      <c r="O652" s="516">
        <f t="shared" si="60"/>
        <v>0</v>
      </c>
      <c r="P652" s="516">
        <f t="shared" si="61"/>
        <v>0</v>
      </c>
      <c r="Q652" s="479"/>
    </row>
    <row r="653" spans="3:17">
      <c r="C653" s="512">
        <f>IF(D618="","-",+C652+1)</f>
        <v>2045</v>
      </c>
      <c r="D653" s="477">
        <f t="shared" si="62"/>
        <v>872593.22368420882</v>
      </c>
      <c r="E653" s="519">
        <f t="shared" si="63"/>
        <v>87259.322368421053</v>
      </c>
      <c r="F653" s="519">
        <f t="shared" si="57"/>
        <v>785333.90131578781</v>
      </c>
      <c r="G653" s="477">
        <f t="shared" si="58"/>
        <v>828963.56249999837</v>
      </c>
      <c r="H653" s="513">
        <f>+J619*G653+E653</f>
        <v>179347.82412720105</v>
      </c>
      <c r="I653" s="520">
        <f>+J620*G653+E653</f>
        <v>179347.82412720105</v>
      </c>
      <c r="J653" s="516">
        <f t="shared" si="59"/>
        <v>0</v>
      </c>
      <c r="K653" s="516"/>
      <c r="L653" s="521"/>
      <c r="M653" s="516">
        <f t="shared" si="64"/>
        <v>0</v>
      </c>
      <c r="N653" s="521"/>
      <c r="O653" s="516">
        <f t="shared" si="60"/>
        <v>0</v>
      </c>
      <c r="P653" s="516">
        <f t="shared" si="61"/>
        <v>0</v>
      </c>
      <c r="Q653" s="479"/>
    </row>
    <row r="654" spans="3:17">
      <c r="C654" s="512">
        <f>IF(D618="","-",+C653+1)</f>
        <v>2046</v>
      </c>
      <c r="D654" s="477">
        <f t="shared" si="62"/>
        <v>785333.90131578781</v>
      </c>
      <c r="E654" s="519">
        <f t="shared" si="63"/>
        <v>87259.322368421053</v>
      </c>
      <c r="F654" s="519">
        <f t="shared" si="57"/>
        <v>698074.5789473668</v>
      </c>
      <c r="G654" s="477">
        <f t="shared" si="58"/>
        <v>741704.24013157724</v>
      </c>
      <c r="H654" s="513">
        <f>+J619*G654+E654</f>
        <v>169654.29762627679</v>
      </c>
      <c r="I654" s="520">
        <f>+J620*G654+E654</f>
        <v>169654.29762627679</v>
      </c>
      <c r="J654" s="516">
        <f t="shared" si="59"/>
        <v>0</v>
      </c>
      <c r="K654" s="516"/>
      <c r="L654" s="521"/>
      <c r="M654" s="516">
        <f t="shared" si="64"/>
        <v>0</v>
      </c>
      <c r="N654" s="521"/>
      <c r="O654" s="516">
        <f t="shared" si="60"/>
        <v>0</v>
      </c>
      <c r="P654" s="516">
        <f t="shared" si="61"/>
        <v>0</v>
      </c>
      <c r="Q654" s="479"/>
    </row>
    <row r="655" spans="3:17">
      <c r="C655" s="512">
        <f>IF(D618="","-",+C654+1)</f>
        <v>2047</v>
      </c>
      <c r="D655" s="477">
        <f t="shared" si="62"/>
        <v>698074.5789473668</v>
      </c>
      <c r="E655" s="519">
        <f t="shared" si="63"/>
        <v>87259.322368421053</v>
      </c>
      <c r="F655" s="519">
        <f t="shared" si="57"/>
        <v>610815.25657894579</v>
      </c>
      <c r="G655" s="477">
        <f t="shared" si="58"/>
        <v>654444.91776315635</v>
      </c>
      <c r="H655" s="513">
        <f>+J619*G655+E655</f>
        <v>159960.77112535259</v>
      </c>
      <c r="I655" s="520">
        <f>+J620*G655+E655</f>
        <v>159960.77112535259</v>
      </c>
      <c r="J655" s="516">
        <f t="shared" si="59"/>
        <v>0</v>
      </c>
      <c r="K655" s="516"/>
      <c r="L655" s="521"/>
      <c r="M655" s="516">
        <f t="shared" si="64"/>
        <v>0</v>
      </c>
      <c r="N655" s="521"/>
      <c r="O655" s="516">
        <f t="shared" si="60"/>
        <v>0</v>
      </c>
      <c r="P655" s="516">
        <f t="shared" si="61"/>
        <v>0</v>
      </c>
      <c r="Q655" s="479"/>
    </row>
    <row r="656" spans="3:17">
      <c r="C656" s="512">
        <f>IF(D618="","-",+C655+1)</f>
        <v>2048</v>
      </c>
      <c r="D656" s="477">
        <f t="shared" si="62"/>
        <v>610815.25657894579</v>
      </c>
      <c r="E656" s="519">
        <f t="shared" si="63"/>
        <v>87259.322368421053</v>
      </c>
      <c r="F656" s="519">
        <f t="shared" si="57"/>
        <v>523555.93421052472</v>
      </c>
      <c r="G656" s="477">
        <f t="shared" si="58"/>
        <v>567185.59539473522</v>
      </c>
      <c r="H656" s="513">
        <f>+J619*G656+E656</f>
        <v>150267.24462442833</v>
      </c>
      <c r="I656" s="520">
        <f>+J620*G656+E656</f>
        <v>150267.24462442833</v>
      </c>
      <c r="J656" s="516">
        <f t="shared" si="59"/>
        <v>0</v>
      </c>
      <c r="K656" s="516"/>
      <c r="L656" s="521"/>
      <c r="M656" s="516">
        <f t="shared" si="64"/>
        <v>0</v>
      </c>
      <c r="N656" s="521"/>
      <c r="O656" s="516">
        <f t="shared" si="60"/>
        <v>0</v>
      </c>
      <c r="P656" s="516">
        <f t="shared" si="61"/>
        <v>0</v>
      </c>
      <c r="Q656" s="479"/>
    </row>
    <row r="657" spans="3:17">
      <c r="C657" s="512">
        <f>IF(D618="","-",+C656+1)</f>
        <v>2049</v>
      </c>
      <c r="D657" s="477">
        <f t="shared" si="62"/>
        <v>523555.93421052472</v>
      </c>
      <c r="E657" s="519">
        <f t="shared" si="63"/>
        <v>87259.322368421053</v>
      </c>
      <c r="F657" s="519">
        <f t="shared" si="57"/>
        <v>436296.61184210365</v>
      </c>
      <c r="G657" s="477">
        <f t="shared" si="58"/>
        <v>479926.27302631421</v>
      </c>
      <c r="H657" s="513">
        <f>+J619*G657+E657</f>
        <v>140573.71812350414</v>
      </c>
      <c r="I657" s="520">
        <f>+J620*G657+E657</f>
        <v>140573.71812350414</v>
      </c>
      <c r="J657" s="516">
        <f t="shared" si="59"/>
        <v>0</v>
      </c>
      <c r="K657" s="516"/>
      <c r="L657" s="521"/>
      <c r="M657" s="516">
        <f t="shared" si="64"/>
        <v>0</v>
      </c>
      <c r="N657" s="521"/>
      <c r="O657" s="516">
        <f t="shared" si="60"/>
        <v>0</v>
      </c>
      <c r="P657" s="516">
        <f t="shared" si="61"/>
        <v>0</v>
      </c>
      <c r="Q657" s="479"/>
    </row>
    <row r="658" spans="3:17">
      <c r="C658" s="512">
        <f>IF(D618="","-",+C657+1)</f>
        <v>2050</v>
      </c>
      <c r="D658" s="477">
        <f t="shared" si="62"/>
        <v>436296.61184210365</v>
      </c>
      <c r="E658" s="519">
        <f t="shared" si="63"/>
        <v>87259.322368421053</v>
      </c>
      <c r="F658" s="519">
        <f t="shared" si="57"/>
        <v>349037.28947368258</v>
      </c>
      <c r="G658" s="477">
        <f t="shared" si="58"/>
        <v>392666.95065789309</v>
      </c>
      <c r="H658" s="513">
        <f>+J619*G658+E658</f>
        <v>130880.19162257989</v>
      </c>
      <c r="I658" s="520">
        <f>+J620*G658+E658</f>
        <v>130880.19162257989</v>
      </c>
      <c r="J658" s="516">
        <f t="shared" si="59"/>
        <v>0</v>
      </c>
      <c r="K658" s="516"/>
      <c r="L658" s="521"/>
      <c r="M658" s="516">
        <f t="shared" si="64"/>
        <v>0</v>
      </c>
      <c r="N658" s="521"/>
      <c r="O658" s="516">
        <f t="shared" si="60"/>
        <v>0</v>
      </c>
      <c r="P658" s="516">
        <f t="shared" si="61"/>
        <v>0</v>
      </c>
      <c r="Q658" s="479"/>
    </row>
    <row r="659" spans="3:17">
      <c r="C659" s="512">
        <f>IF(D618="","-",+C658+1)</f>
        <v>2051</v>
      </c>
      <c r="D659" s="477">
        <f t="shared" si="62"/>
        <v>349037.28947368258</v>
      </c>
      <c r="E659" s="519">
        <f t="shared" si="63"/>
        <v>87259.322368421053</v>
      </c>
      <c r="F659" s="519">
        <f t="shared" si="57"/>
        <v>261777.96710526152</v>
      </c>
      <c r="G659" s="477">
        <f t="shared" si="58"/>
        <v>305407.62828947208</v>
      </c>
      <c r="H659" s="513">
        <f>+J619*G659+E659</f>
        <v>121186.66512165568</v>
      </c>
      <c r="I659" s="520">
        <f>+J620*G659+E659</f>
        <v>121186.66512165568</v>
      </c>
      <c r="J659" s="516">
        <f t="shared" si="59"/>
        <v>0</v>
      </c>
      <c r="K659" s="516"/>
      <c r="L659" s="521"/>
      <c r="M659" s="516">
        <f t="shared" si="64"/>
        <v>0</v>
      </c>
      <c r="N659" s="521"/>
      <c r="O659" s="516">
        <f t="shared" si="60"/>
        <v>0</v>
      </c>
      <c r="P659" s="516">
        <f t="shared" si="61"/>
        <v>0</v>
      </c>
      <c r="Q659" s="479"/>
    </row>
    <row r="660" spans="3:17">
      <c r="C660" s="512">
        <f>IF(D618="","-",+C659+1)</f>
        <v>2052</v>
      </c>
      <c r="D660" s="477">
        <f t="shared" si="62"/>
        <v>261777.96710526152</v>
      </c>
      <c r="E660" s="519">
        <f t="shared" si="63"/>
        <v>87259.322368421053</v>
      </c>
      <c r="F660" s="519">
        <f t="shared" si="57"/>
        <v>174518.64473684045</v>
      </c>
      <c r="G660" s="477">
        <f t="shared" si="58"/>
        <v>218148.30592105098</v>
      </c>
      <c r="H660" s="513">
        <f>+J619*G660+E660</f>
        <v>111493.13862073144</v>
      </c>
      <c r="I660" s="520">
        <f>+J620*G660+E660</f>
        <v>111493.13862073144</v>
      </c>
      <c r="J660" s="516">
        <f t="shared" si="59"/>
        <v>0</v>
      </c>
      <c r="K660" s="516"/>
      <c r="L660" s="521"/>
      <c r="M660" s="516">
        <f t="shared" si="64"/>
        <v>0</v>
      </c>
      <c r="N660" s="521"/>
      <c r="O660" s="516">
        <f t="shared" si="60"/>
        <v>0</v>
      </c>
      <c r="P660" s="516">
        <f t="shared" si="61"/>
        <v>0</v>
      </c>
      <c r="Q660" s="479"/>
    </row>
    <row r="661" spans="3:17">
      <c r="C661" s="512">
        <f>IF(D618="","-",+C660+1)</f>
        <v>2053</v>
      </c>
      <c r="D661" s="477">
        <f t="shared" si="62"/>
        <v>174518.64473684045</v>
      </c>
      <c r="E661" s="519">
        <f t="shared" si="63"/>
        <v>87259.322368421053</v>
      </c>
      <c r="F661" s="519">
        <f t="shared" si="57"/>
        <v>87259.322368419394</v>
      </c>
      <c r="G661" s="477">
        <f t="shared" si="58"/>
        <v>130888.98355262991</v>
      </c>
      <c r="H661" s="513">
        <f>+J619*G661+E661</f>
        <v>101799.61211980721</v>
      </c>
      <c r="I661" s="520">
        <f>+J620*G661+E661</f>
        <v>101799.61211980721</v>
      </c>
      <c r="J661" s="516">
        <f t="shared" si="59"/>
        <v>0</v>
      </c>
      <c r="K661" s="516"/>
      <c r="L661" s="521"/>
      <c r="M661" s="516">
        <f t="shared" si="64"/>
        <v>0</v>
      </c>
      <c r="N661" s="521"/>
      <c r="O661" s="516">
        <f t="shared" si="60"/>
        <v>0</v>
      </c>
      <c r="P661" s="516">
        <f t="shared" si="61"/>
        <v>0</v>
      </c>
      <c r="Q661" s="479"/>
    </row>
    <row r="662" spans="3:17">
      <c r="C662" s="512">
        <f>IF(D618="","-",+C661+1)</f>
        <v>2054</v>
      </c>
      <c r="D662" s="477">
        <f t="shared" si="62"/>
        <v>87259.322368419394</v>
      </c>
      <c r="E662" s="519">
        <f t="shared" si="63"/>
        <v>87259.322368419394</v>
      </c>
      <c r="F662" s="519">
        <f t="shared" si="57"/>
        <v>0</v>
      </c>
      <c r="G662" s="477">
        <f t="shared" si="58"/>
        <v>43629.661184209697</v>
      </c>
      <c r="H662" s="513">
        <f>+J619*G662+E662</f>
        <v>92106.085618881421</v>
      </c>
      <c r="I662" s="520">
        <f>+J620*G662+E662</f>
        <v>92106.085618881421</v>
      </c>
      <c r="J662" s="516">
        <f t="shared" si="59"/>
        <v>0</v>
      </c>
      <c r="K662" s="516"/>
      <c r="L662" s="521"/>
      <c r="M662" s="516">
        <f t="shared" si="64"/>
        <v>0</v>
      </c>
      <c r="N662" s="521"/>
      <c r="O662" s="516">
        <f t="shared" si="60"/>
        <v>0</v>
      </c>
      <c r="P662" s="516">
        <f t="shared" si="61"/>
        <v>0</v>
      </c>
      <c r="Q662" s="479"/>
    </row>
    <row r="663" spans="3:17">
      <c r="C663" s="512">
        <f>IF(D618="","-",+C662+1)</f>
        <v>2055</v>
      </c>
      <c r="D663" s="477">
        <f t="shared" si="62"/>
        <v>0</v>
      </c>
      <c r="E663" s="519">
        <f t="shared" si="63"/>
        <v>0</v>
      </c>
      <c r="F663" s="519">
        <f t="shared" si="57"/>
        <v>0</v>
      </c>
      <c r="G663" s="477">
        <f t="shared" si="58"/>
        <v>0</v>
      </c>
      <c r="H663" s="513">
        <f>+J619*G663+E663</f>
        <v>0</v>
      </c>
      <c r="I663" s="520">
        <f>+J620*G663+E663</f>
        <v>0</v>
      </c>
      <c r="J663" s="516">
        <f t="shared" si="59"/>
        <v>0</v>
      </c>
      <c r="K663" s="516"/>
      <c r="L663" s="521"/>
      <c r="M663" s="516">
        <f t="shared" si="64"/>
        <v>0</v>
      </c>
      <c r="N663" s="521"/>
      <c r="O663" s="516">
        <f t="shared" si="60"/>
        <v>0</v>
      </c>
      <c r="P663" s="516">
        <f t="shared" si="61"/>
        <v>0</v>
      </c>
      <c r="Q663" s="479"/>
    </row>
    <row r="664" spans="3:17">
      <c r="C664" s="512">
        <f>IF(D618="","-",+C663+1)</f>
        <v>2056</v>
      </c>
      <c r="D664" s="477">
        <f t="shared" si="62"/>
        <v>0</v>
      </c>
      <c r="E664" s="519">
        <f t="shared" si="63"/>
        <v>0</v>
      </c>
      <c r="F664" s="519">
        <f t="shared" si="57"/>
        <v>0</v>
      </c>
      <c r="G664" s="477">
        <f t="shared" si="58"/>
        <v>0</v>
      </c>
      <c r="H664" s="513">
        <f>+J619*G664+E664</f>
        <v>0</v>
      </c>
      <c r="I664" s="520">
        <f>+J620*G664+E664</f>
        <v>0</v>
      </c>
      <c r="J664" s="516">
        <f t="shared" si="59"/>
        <v>0</v>
      </c>
      <c r="K664" s="516"/>
      <c r="L664" s="521"/>
      <c r="M664" s="516">
        <f t="shared" si="64"/>
        <v>0</v>
      </c>
      <c r="N664" s="521"/>
      <c r="O664" s="516">
        <f t="shared" si="60"/>
        <v>0</v>
      </c>
      <c r="P664" s="516">
        <f t="shared" si="61"/>
        <v>0</v>
      </c>
      <c r="Q664" s="479"/>
    </row>
    <row r="665" spans="3:17">
      <c r="C665" s="512">
        <f>IF(D618="","-",+C664+1)</f>
        <v>2057</v>
      </c>
      <c r="D665" s="477">
        <f t="shared" si="62"/>
        <v>0</v>
      </c>
      <c r="E665" s="519">
        <f t="shared" si="63"/>
        <v>0</v>
      </c>
      <c r="F665" s="519">
        <f t="shared" si="57"/>
        <v>0</v>
      </c>
      <c r="G665" s="477">
        <f t="shared" si="58"/>
        <v>0</v>
      </c>
      <c r="H665" s="513">
        <f>+J619*G665+E665</f>
        <v>0</v>
      </c>
      <c r="I665" s="520">
        <f>+J620*G665+E665</f>
        <v>0</v>
      </c>
      <c r="J665" s="516">
        <f t="shared" si="59"/>
        <v>0</v>
      </c>
      <c r="K665" s="516"/>
      <c r="L665" s="521"/>
      <c r="M665" s="516">
        <f t="shared" si="64"/>
        <v>0</v>
      </c>
      <c r="N665" s="521"/>
      <c r="O665" s="516">
        <f t="shared" si="60"/>
        <v>0</v>
      </c>
      <c r="P665" s="516">
        <f t="shared" si="61"/>
        <v>0</v>
      </c>
      <c r="Q665" s="479"/>
    </row>
    <row r="666" spans="3:17">
      <c r="C666" s="512">
        <f>IF(D618="","-",+C665+1)</f>
        <v>2058</v>
      </c>
      <c r="D666" s="477">
        <f t="shared" si="62"/>
        <v>0</v>
      </c>
      <c r="E666" s="519">
        <f t="shared" si="63"/>
        <v>0</v>
      </c>
      <c r="F666" s="519">
        <f t="shared" si="57"/>
        <v>0</v>
      </c>
      <c r="G666" s="477">
        <f t="shared" si="58"/>
        <v>0</v>
      </c>
      <c r="H666" s="513">
        <f>+J619*G666+E666</f>
        <v>0</v>
      </c>
      <c r="I666" s="520">
        <f>+J620*G666+E666</f>
        <v>0</v>
      </c>
      <c r="J666" s="516">
        <f t="shared" si="59"/>
        <v>0</v>
      </c>
      <c r="K666" s="516"/>
      <c r="L666" s="521"/>
      <c r="M666" s="516">
        <f t="shared" si="64"/>
        <v>0</v>
      </c>
      <c r="N666" s="521"/>
      <c r="O666" s="516">
        <f t="shared" si="60"/>
        <v>0</v>
      </c>
      <c r="P666" s="516">
        <f t="shared" si="61"/>
        <v>0</v>
      </c>
      <c r="Q666" s="479"/>
    </row>
    <row r="667" spans="3:17">
      <c r="C667" s="512">
        <f>IF(D618="","-",+C666+1)</f>
        <v>2059</v>
      </c>
      <c r="D667" s="477">
        <f t="shared" si="62"/>
        <v>0</v>
      </c>
      <c r="E667" s="519">
        <f t="shared" si="63"/>
        <v>0</v>
      </c>
      <c r="F667" s="519">
        <f t="shared" si="57"/>
        <v>0</v>
      </c>
      <c r="G667" s="477">
        <f t="shared" si="58"/>
        <v>0</v>
      </c>
      <c r="H667" s="513">
        <f>+J619*G667+E667</f>
        <v>0</v>
      </c>
      <c r="I667" s="520">
        <f>+J620*G667+E667</f>
        <v>0</v>
      </c>
      <c r="J667" s="516">
        <f t="shared" si="59"/>
        <v>0</v>
      </c>
      <c r="K667" s="516"/>
      <c r="L667" s="521"/>
      <c r="M667" s="516">
        <f t="shared" si="64"/>
        <v>0</v>
      </c>
      <c r="N667" s="521"/>
      <c r="O667" s="516">
        <f t="shared" si="60"/>
        <v>0</v>
      </c>
      <c r="P667" s="516">
        <f t="shared" si="61"/>
        <v>0</v>
      </c>
      <c r="Q667" s="479"/>
    </row>
    <row r="668" spans="3:17">
      <c r="C668" s="512">
        <f>IF(D618="","-",+C667+1)</f>
        <v>2060</v>
      </c>
      <c r="D668" s="477">
        <f t="shared" si="62"/>
        <v>0</v>
      </c>
      <c r="E668" s="519">
        <f t="shared" si="63"/>
        <v>0</v>
      </c>
      <c r="F668" s="519">
        <f t="shared" si="57"/>
        <v>0</v>
      </c>
      <c r="G668" s="477">
        <f t="shared" si="58"/>
        <v>0</v>
      </c>
      <c r="H668" s="513">
        <f>+J619*G668+E668</f>
        <v>0</v>
      </c>
      <c r="I668" s="520">
        <f>+J620*G668+E668</f>
        <v>0</v>
      </c>
      <c r="J668" s="516">
        <f t="shared" si="59"/>
        <v>0</v>
      </c>
      <c r="K668" s="516"/>
      <c r="L668" s="521"/>
      <c r="M668" s="516">
        <f t="shared" si="64"/>
        <v>0</v>
      </c>
      <c r="N668" s="521"/>
      <c r="O668" s="516">
        <f t="shared" si="60"/>
        <v>0</v>
      </c>
      <c r="P668" s="516">
        <f t="shared" si="61"/>
        <v>0</v>
      </c>
      <c r="Q668" s="479"/>
    </row>
    <row r="669" spans="3:17">
      <c r="C669" s="512">
        <f>IF(D618="","-",+C668+1)</f>
        <v>2061</v>
      </c>
      <c r="D669" s="477">
        <f t="shared" si="62"/>
        <v>0</v>
      </c>
      <c r="E669" s="519">
        <f t="shared" si="63"/>
        <v>0</v>
      </c>
      <c r="F669" s="519">
        <f t="shared" si="57"/>
        <v>0</v>
      </c>
      <c r="G669" s="477">
        <f t="shared" si="58"/>
        <v>0</v>
      </c>
      <c r="H669" s="513">
        <f>+J619*G669+E669</f>
        <v>0</v>
      </c>
      <c r="I669" s="520">
        <f>+J620*G669+E669</f>
        <v>0</v>
      </c>
      <c r="J669" s="516">
        <f t="shared" si="59"/>
        <v>0</v>
      </c>
      <c r="K669" s="516"/>
      <c r="L669" s="521"/>
      <c r="M669" s="516">
        <f t="shared" si="64"/>
        <v>0</v>
      </c>
      <c r="N669" s="521"/>
      <c r="O669" s="516">
        <f t="shared" si="60"/>
        <v>0</v>
      </c>
      <c r="P669" s="516">
        <f t="shared" si="61"/>
        <v>0</v>
      </c>
      <c r="Q669" s="479"/>
    </row>
    <row r="670" spans="3:17">
      <c r="C670" s="512">
        <f>IF(D618="","-",+C669+1)</f>
        <v>2062</v>
      </c>
      <c r="D670" s="477">
        <f t="shared" si="62"/>
        <v>0</v>
      </c>
      <c r="E670" s="519">
        <f t="shared" si="63"/>
        <v>0</v>
      </c>
      <c r="F670" s="519">
        <f t="shared" si="57"/>
        <v>0</v>
      </c>
      <c r="G670" s="477">
        <f t="shared" si="58"/>
        <v>0</v>
      </c>
      <c r="H670" s="513">
        <f>+J619*G670+E670</f>
        <v>0</v>
      </c>
      <c r="I670" s="520">
        <f>+J620*G670+E670</f>
        <v>0</v>
      </c>
      <c r="J670" s="516">
        <f t="shared" si="59"/>
        <v>0</v>
      </c>
      <c r="K670" s="516"/>
      <c r="L670" s="521"/>
      <c r="M670" s="516">
        <f t="shared" si="64"/>
        <v>0</v>
      </c>
      <c r="N670" s="521"/>
      <c r="O670" s="516">
        <f t="shared" si="60"/>
        <v>0</v>
      </c>
      <c r="P670" s="516">
        <f t="shared" si="61"/>
        <v>0</v>
      </c>
      <c r="Q670" s="479"/>
    </row>
    <row r="671" spans="3:17">
      <c r="C671" s="512">
        <f>IF(D618="","-",+C670+1)</f>
        <v>2063</v>
      </c>
      <c r="D671" s="477">
        <f t="shared" si="62"/>
        <v>0</v>
      </c>
      <c r="E671" s="519">
        <f t="shared" si="63"/>
        <v>0</v>
      </c>
      <c r="F671" s="519">
        <f t="shared" si="57"/>
        <v>0</v>
      </c>
      <c r="G671" s="477">
        <f t="shared" si="58"/>
        <v>0</v>
      </c>
      <c r="H671" s="513">
        <f>+J619*G671+E671</f>
        <v>0</v>
      </c>
      <c r="I671" s="520">
        <f>+J620*G671+E671</f>
        <v>0</v>
      </c>
      <c r="J671" s="516">
        <f t="shared" si="59"/>
        <v>0</v>
      </c>
      <c r="K671" s="516"/>
      <c r="L671" s="521"/>
      <c r="M671" s="516">
        <f t="shared" si="64"/>
        <v>0</v>
      </c>
      <c r="N671" s="521"/>
      <c r="O671" s="516">
        <f t="shared" si="60"/>
        <v>0</v>
      </c>
      <c r="P671" s="516">
        <f t="shared" si="61"/>
        <v>0</v>
      </c>
      <c r="Q671" s="479"/>
    </row>
    <row r="672" spans="3:17">
      <c r="C672" s="512">
        <f>IF(D618="","-",+C671+1)</f>
        <v>2064</v>
      </c>
      <c r="D672" s="477">
        <f t="shared" si="62"/>
        <v>0</v>
      </c>
      <c r="E672" s="519">
        <f t="shared" si="63"/>
        <v>0</v>
      </c>
      <c r="F672" s="519">
        <f t="shared" si="57"/>
        <v>0</v>
      </c>
      <c r="G672" s="477">
        <f t="shared" si="58"/>
        <v>0</v>
      </c>
      <c r="H672" s="513">
        <f>+J619*G672+E672</f>
        <v>0</v>
      </c>
      <c r="I672" s="520">
        <f>+J620*G672+E672</f>
        <v>0</v>
      </c>
      <c r="J672" s="516">
        <f t="shared" si="59"/>
        <v>0</v>
      </c>
      <c r="K672" s="516"/>
      <c r="L672" s="521"/>
      <c r="M672" s="516">
        <f t="shared" si="64"/>
        <v>0</v>
      </c>
      <c r="N672" s="521"/>
      <c r="O672" s="516">
        <f t="shared" si="60"/>
        <v>0</v>
      </c>
      <c r="P672" s="516">
        <f t="shared" si="61"/>
        <v>0</v>
      </c>
      <c r="Q672" s="479"/>
    </row>
    <row r="673" spans="3:17">
      <c r="C673" s="512">
        <f>IF(D618="","-",+C672+1)</f>
        <v>2065</v>
      </c>
      <c r="D673" s="477">
        <f t="shared" si="62"/>
        <v>0</v>
      </c>
      <c r="E673" s="519">
        <f t="shared" si="63"/>
        <v>0</v>
      </c>
      <c r="F673" s="519">
        <f t="shared" si="57"/>
        <v>0</v>
      </c>
      <c r="G673" s="477">
        <f t="shared" si="58"/>
        <v>0</v>
      </c>
      <c r="H673" s="513">
        <f>+J619*G673+E673</f>
        <v>0</v>
      </c>
      <c r="I673" s="520">
        <f>+J620*G673+E673</f>
        <v>0</v>
      </c>
      <c r="J673" s="516">
        <f t="shared" si="59"/>
        <v>0</v>
      </c>
      <c r="K673" s="516"/>
      <c r="L673" s="521"/>
      <c r="M673" s="516">
        <f t="shared" si="64"/>
        <v>0</v>
      </c>
      <c r="N673" s="521"/>
      <c r="O673" s="516">
        <f t="shared" si="60"/>
        <v>0</v>
      </c>
      <c r="P673" s="516">
        <f t="shared" si="61"/>
        <v>0</v>
      </c>
      <c r="Q673" s="479"/>
    </row>
    <row r="674" spans="3:17">
      <c r="C674" s="512">
        <f>IF(D618="","-",+C673+1)</f>
        <v>2066</v>
      </c>
      <c r="D674" s="477">
        <f t="shared" si="62"/>
        <v>0</v>
      </c>
      <c r="E674" s="519">
        <f t="shared" si="63"/>
        <v>0</v>
      </c>
      <c r="F674" s="519">
        <f t="shared" si="57"/>
        <v>0</v>
      </c>
      <c r="G674" s="477">
        <f t="shared" si="58"/>
        <v>0</v>
      </c>
      <c r="H674" s="513">
        <f>+J619*G674+E674</f>
        <v>0</v>
      </c>
      <c r="I674" s="520">
        <f>+J620*G674+E674</f>
        <v>0</v>
      </c>
      <c r="J674" s="516">
        <f t="shared" si="59"/>
        <v>0</v>
      </c>
      <c r="K674" s="516"/>
      <c r="L674" s="521"/>
      <c r="M674" s="516">
        <f t="shared" si="64"/>
        <v>0</v>
      </c>
      <c r="N674" s="521"/>
      <c r="O674" s="516">
        <f t="shared" si="60"/>
        <v>0</v>
      </c>
      <c r="P674" s="516">
        <f t="shared" si="61"/>
        <v>0</v>
      </c>
      <c r="Q674" s="479"/>
    </row>
    <row r="675" spans="3:17">
      <c r="C675" s="512">
        <f>IF(D618="","-",+C674+1)</f>
        <v>2067</v>
      </c>
      <c r="D675" s="477">
        <f t="shared" si="62"/>
        <v>0</v>
      </c>
      <c r="E675" s="519">
        <f t="shared" si="63"/>
        <v>0</v>
      </c>
      <c r="F675" s="519">
        <f t="shared" si="57"/>
        <v>0</v>
      </c>
      <c r="G675" s="477">
        <f t="shared" si="58"/>
        <v>0</v>
      </c>
      <c r="H675" s="513">
        <f>+J619*G675+E675</f>
        <v>0</v>
      </c>
      <c r="I675" s="520">
        <f>+J620*G675+E675</f>
        <v>0</v>
      </c>
      <c r="J675" s="516">
        <f t="shared" si="59"/>
        <v>0</v>
      </c>
      <c r="K675" s="516"/>
      <c r="L675" s="521"/>
      <c r="M675" s="516">
        <f t="shared" si="64"/>
        <v>0</v>
      </c>
      <c r="N675" s="521"/>
      <c r="O675" s="516">
        <f t="shared" si="60"/>
        <v>0</v>
      </c>
      <c r="P675" s="516">
        <f t="shared" si="61"/>
        <v>0</v>
      </c>
      <c r="Q675" s="479"/>
    </row>
    <row r="676" spans="3:17">
      <c r="C676" s="512">
        <f>IF(D618="","-",+C675+1)</f>
        <v>2068</v>
      </c>
      <c r="D676" s="477">
        <f t="shared" si="62"/>
        <v>0</v>
      </c>
      <c r="E676" s="519">
        <f t="shared" si="63"/>
        <v>0</v>
      </c>
      <c r="F676" s="519">
        <f t="shared" si="57"/>
        <v>0</v>
      </c>
      <c r="G676" s="477">
        <f t="shared" si="58"/>
        <v>0</v>
      </c>
      <c r="H676" s="513">
        <f>+J619*G676+E676</f>
        <v>0</v>
      </c>
      <c r="I676" s="520">
        <f>+J620*G676+E676</f>
        <v>0</v>
      </c>
      <c r="J676" s="516">
        <f t="shared" si="59"/>
        <v>0</v>
      </c>
      <c r="K676" s="516"/>
      <c r="L676" s="521"/>
      <c r="M676" s="516">
        <f t="shared" si="64"/>
        <v>0</v>
      </c>
      <c r="N676" s="521"/>
      <c r="O676" s="516">
        <f t="shared" si="60"/>
        <v>0</v>
      </c>
      <c r="P676" s="516">
        <f t="shared" si="61"/>
        <v>0</v>
      </c>
      <c r="Q676" s="479"/>
    </row>
    <row r="677" spans="3:17">
      <c r="C677" s="512">
        <f>IF(D618="","-",+C676+1)</f>
        <v>2069</v>
      </c>
      <c r="D677" s="477">
        <f t="shared" si="62"/>
        <v>0</v>
      </c>
      <c r="E677" s="519">
        <f t="shared" si="63"/>
        <v>0</v>
      </c>
      <c r="F677" s="519">
        <f t="shared" si="57"/>
        <v>0</v>
      </c>
      <c r="G677" s="477">
        <f t="shared" si="58"/>
        <v>0</v>
      </c>
      <c r="H677" s="513">
        <f>+J619*G677+E677</f>
        <v>0</v>
      </c>
      <c r="I677" s="520">
        <f>+J620*G677+E677</f>
        <v>0</v>
      </c>
      <c r="J677" s="516">
        <f t="shared" si="59"/>
        <v>0</v>
      </c>
      <c r="K677" s="516"/>
      <c r="L677" s="521"/>
      <c r="M677" s="516">
        <f t="shared" si="64"/>
        <v>0</v>
      </c>
      <c r="N677" s="521"/>
      <c r="O677" s="516">
        <f t="shared" si="60"/>
        <v>0</v>
      </c>
      <c r="P677" s="516">
        <f t="shared" si="61"/>
        <v>0</v>
      </c>
      <c r="Q677" s="479"/>
    </row>
    <row r="678" spans="3:17">
      <c r="C678" s="512">
        <f>IF(D618="","-",+C677+1)</f>
        <v>2070</v>
      </c>
      <c r="D678" s="477">
        <f t="shared" si="62"/>
        <v>0</v>
      </c>
      <c r="E678" s="519">
        <f t="shared" si="63"/>
        <v>0</v>
      </c>
      <c r="F678" s="519">
        <f t="shared" si="57"/>
        <v>0</v>
      </c>
      <c r="G678" s="477">
        <f t="shared" si="58"/>
        <v>0</v>
      </c>
      <c r="H678" s="513">
        <f>+J619*G678+E678</f>
        <v>0</v>
      </c>
      <c r="I678" s="520">
        <f>+J620*G678+E678</f>
        <v>0</v>
      </c>
      <c r="J678" s="516">
        <f t="shared" si="59"/>
        <v>0</v>
      </c>
      <c r="K678" s="516"/>
      <c r="L678" s="521"/>
      <c r="M678" s="516">
        <f t="shared" si="64"/>
        <v>0</v>
      </c>
      <c r="N678" s="521"/>
      <c r="O678" s="516">
        <f t="shared" si="60"/>
        <v>0</v>
      </c>
      <c r="P678" s="516">
        <f t="shared" si="61"/>
        <v>0</v>
      </c>
      <c r="Q678" s="479"/>
    </row>
    <row r="679" spans="3:17">
      <c r="C679" s="512">
        <f>IF(D618="","-",+C678+1)</f>
        <v>2071</v>
      </c>
      <c r="D679" s="477">
        <f t="shared" si="62"/>
        <v>0</v>
      </c>
      <c r="E679" s="519">
        <f t="shared" si="63"/>
        <v>0</v>
      </c>
      <c r="F679" s="519">
        <f t="shared" si="57"/>
        <v>0</v>
      </c>
      <c r="G679" s="477">
        <f t="shared" si="58"/>
        <v>0</v>
      </c>
      <c r="H679" s="513">
        <f>+J619*G679+E679</f>
        <v>0</v>
      </c>
      <c r="I679" s="520">
        <f>+J620*G679+E679</f>
        <v>0</v>
      </c>
      <c r="J679" s="516">
        <f t="shared" si="59"/>
        <v>0</v>
      </c>
      <c r="K679" s="516"/>
      <c r="L679" s="521"/>
      <c r="M679" s="516">
        <f t="shared" si="64"/>
        <v>0</v>
      </c>
      <c r="N679" s="521"/>
      <c r="O679" s="516">
        <f t="shared" si="60"/>
        <v>0</v>
      </c>
      <c r="P679" s="516">
        <f t="shared" si="61"/>
        <v>0</v>
      </c>
      <c r="Q679" s="479"/>
    </row>
    <row r="680" spans="3:17">
      <c r="C680" s="512">
        <f>IF(D618="","-",+C679+1)</f>
        <v>2072</v>
      </c>
      <c r="D680" s="477">
        <f t="shared" si="62"/>
        <v>0</v>
      </c>
      <c r="E680" s="519">
        <f t="shared" si="63"/>
        <v>0</v>
      </c>
      <c r="F680" s="519">
        <f t="shared" si="57"/>
        <v>0</v>
      </c>
      <c r="G680" s="477">
        <f t="shared" si="58"/>
        <v>0</v>
      </c>
      <c r="H680" s="513">
        <f>+J619*G680+E680</f>
        <v>0</v>
      </c>
      <c r="I680" s="520">
        <f>+J620*G680+E680</f>
        <v>0</v>
      </c>
      <c r="J680" s="516">
        <f t="shared" si="59"/>
        <v>0</v>
      </c>
      <c r="K680" s="516"/>
      <c r="L680" s="521"/>
      <c r="M680" s="516">
        <f t="shared" si="64"/>
        <v>0</v>
      </c>
      <c r="N680" s="521"/>
      <c r="O680" s="516">
        <f t="shared" si="60"/>
        <v>0</v>
      </c>
      <c r="P680" s="516">
        <f t="shared" si="61"/>
        <v>0</v>
      </c>
      <c r="Q680" s="479"/>
    </row>
    <row r="681" spans="3:17">
      <c r="C681" s="512">
        <f>IF(D618="","-",+C680+1)</f>
        <v>2073</v>
      </c>
      <c r="D681" s="477">
        <f t="shared" si="62"/>
        <v>0</v>
      </c>
      <c r="E681" s="519">
        <f t="shared" si="63"/>
        <v>0</v>
      </c>
      <c r="F681" s="519">
        <f t="shared" si="57"/>
        <v>0</v>
      </c>
      <c r="G681" s="477">
        <f t="shared" si="58"/>
        <v>0</v>
      </c>
      <c r="H681" s="513">
        <f>+J619*G681+E681</f>
        <v>0</v>
      </c>
      <c r="I681" s="520">
        <f>+J620*G681+E681</f>
        <v>0</v>
      </c>
      <c r="J681" s="516">
        <f t="shared" si="59"/>
        <v>0</v>
      </c>
      <c r="K681" s="516"/>
      <c r="L681" s="521"/>
      <c r="M681" s="516">
        <f t="shared" si="64"/>
        <v>0</v>
      </c>
      <c r="N681" s="521"/>
      <c r="O681" s="516">
        <f t="shared" si="60"/>
        <v>0</v>
      </c>
      <c r="P681" s="516">
        <f t="shared" si="61"/>
        <v>0</v>
      </c>
      <c r="Q681" s="479"/>
    </row>
    <row r="682" spans="3:17">
      <c r="C682" s="512">
        <f>IF(D618="","-",+C681+1)</f>
        <v>2074</v>
      </c>
      <c r="D682" s="477">
        <f t="shared" si="62"/>
        <v>0</v>
      </c>
      <c r="E682" s="519">
        <f t="shared" si="63"/>
        <v>0</v>
      </c>
      <c r="F682" s="519">
        <f t="shared" si="57"/>
        <v>0</v>
      </c>
      <c r="G682" s="477">
        <f t="shared" si="58"/>
        <v>0</v>
      </c>
      <c r="H682" s="513">
        <f>+J619*G682+E682</f>
        <v>0</v>
      </c>
      <c r="I682" s="520">
        <f>+J620*G682+E682</f>
        <v>0</v>
      </c>
      <c r="J682" s="516">
        <f t="shared" si="59"/>
        <v>0</v>
      </c>
      <c r="K682" s="516"/>
      <c r="L682" s="521"/>
      <c r="M682" s="516">
        <f t="shared" si="64"/>
        <v>0</v>
      </c>
      <c r="N682" s="521"/>
      <c r="O682" s="516">
        <f t="shared" si="60"/>
        <v>0</v>
      </c>
      <c r="P682" s="516">
        <f t="shared" si="61"/>
        <v>0</v>
      </c>
      <c r="Q682" s="479"/>
    </row>
    <row r="683" spans="3:17" ht="13.5" thickBot="1">
      <c r="C683" s="523">
        <f>IF(D618="","-",+C682+1)</f>
        <v>2075</v>
      </c>
      <c r="D683" s="524">
        <f t="shared" si="62"/>
        <v>0</v>
      </c>
      <c r="E683" s="974">
        <f t="shared" si="63"/>
        <v>0</v>
      </c>
      <c r="F683" s="525">
        <f t="shared" si="57"/>
        <v>0</v>
      </c>
      <c r="G683" s="524">
        <f t="shared" si="58"/>
        <v>0</v>
      </c>
      <c r="H683" s="526">
        <f>+J619*G683+E683</f>
        <v>0</v>
      </c>
      <c r="I683" s="526">
        <f>+J620*G683+E683</f>
        <v>0</v>
      </c>
      <c r="J683" s="527">
        <f t="shared" si="59"/>
        <v>0</v>
      </c>
      <c r="K683" s="516"/>
      <c r="L683" s="528"/>
      <c r="M683" s="527">
        <f t="shared" si="64"/>
        <v>0</v>
      </c>
      <c r="N683" s="528"/>
      <c r="O683" s="527">
        <f t="shared" si="60"/>
        <v>0</v>
      </c>
      <c r="P683" s="527">
        <f t="shared" si="61"/>
        <v>0</v>
      </c>
      <c r="Q683" s="479"/>
    </row>
    <row r="684" spans="3:17">
      <c r="C684" s="477" t="s">
        <v>289</v>
      </c>
      <c r="D684" s="475"/>
      <c r="E684" s="475">
        <f>SUM(E624:E683)</f>
        <v>3315854.2499999995</v>
      </c>
      <c r="F684" s="475"/>
      <c r="G684" s="475"/>
      <c r="H684" s="475">
        <f>SUM(H624:H683)</f>
        <v>10682934.390702406</v>
      </c>
      <c r="I684" s="475">
        <f>SUM(I624:I683)</f>
        <v>10682934.390702406</v>
      </c>
      <c r="J684" s="475">
        <f>SUM(J624:J683)</f>
        <v>0</v>
      </c>
      <c r="K684" s="475"/>
      <c r="L684" s="475"/>
      <c r="M684" s="475"/>
      <c r="N684" s="475"/>
      <c r="O684" s="475"/>
      <c r="Q684" s="475"/>
    </row>
    <row r="685" spans="3:17">
      <c r="D685" s="82"/>
      <c r="E685" s="4"/>
      <c r="F685" s="4"/>
      <c r="G685" s="4"/>
      <c r="H685" s="4"/>
      <c r="I685" s="460"/>
      <c r="J685" s="460"/>
      <c r="K685" s="475"/>
      <c r="L685" s="460"/>
      <c r="M685" s="460"/>
      <c r="N685" s="460"/>
      <c r="O685" s="460"/>
      <c r="Q685" s="475"/>
    </row>
    <row r="686" spans="3:17">
      <c r="C686" s="4" t="s">
        <v>596</v>
      </c>
      <c r="D686" s="82"/>
      <c r="E686" s="4"/>
      <c r="F686" s="4"/>
      <c r="G686" s="4"/>
      <c r="H686" s="4"/>
      <c r="I686" s="460"/>
      <c r="J686" s="460"/>
      <c r="K686" s="475"/>
      <c r="L686" s="460"/>
      <c r="M686" s="460"/>
      <c r="N686" s="460"/>
      <c r="O686" s="460"/>
      <c r="Q686" s="475"/>
    </row>
    <row r="687" spans="3:17">
      <c r="D687" s="82"/>
      <c r="E687" s="4"/>
      <c r="F687" s="4"/>
      <c r="G687" s="4"/>
      <c r="H687" s="4"/>
      <c r="I687" s="460"/>
      <c r="J687" s="460"/>
      <c r="K687" s="475"/>
      <c r="L687" s="460"/>
      <c r="M687" s="460"/>
      <c r="N687" s="460"/>
      <c r="O687" s="460"/>
      <c r="Q687" s="475"/>
    </row>
    <row r="688" spans="3:17">
      <c r="C688" s="4" t="s">
        <v>597</v>
      </c>
      <c r="D688" s="477"/>
      <c r="E688" s="477"/>
      <c r="F688" s="477"/>
      <c r="G688" s="477"/>
      <c r="H688" s="475"/>
      <c r="I688" s="475"/>
      <c r="J688" s="479"/>
      <c r="K688" s="479"/>
      <c r="L688" s="479"/>
      <c r="M688" s="479"/>
      <c r="N688" s="479"/>
      <c r="O688" s="479"/>
      <c r="Q688" s="479"/>
    </row>
    <row r="689" spans="1:17">
      <c r="C689" s="4" t="s">
        <v>477</v>
      </c>
      <c r="D689" s="477"/>
      <c r="E689" s="477"/>
      <c r="F689" s="477"/>
      <c r="G689" s="477"/>
      <c r="H689" s="475"/>
      <c r="I689" s="475"/>
      <c r="J689" s="479"/>
      <c r="K689" s="479"/>
      <c r="L689" s="479"/>
      <c r="M689" s="479"/>
      <c r="N689" s="479"/>
      <c r="O689" s="479"/>
      <c r="Q689" s="479"/>
    </row>
    <row r="690" spans="1:17">
      <c r="C690" s="4" t="s">
        <v>290</v>
      </c>
      <c r="D690" s="477"/>
      <c r="E690" s="477"/>
      <c r="F690" s="477"/>
      <c r="G690" s="477"/>
      <c r="H690" s="475"/>
      <c r="I690" s="475"/>
      <c r="J690" s="479"/>
      <c r="K690" s="479"/>
      <c r="L690" s="479"/>
      <c r="M690" s="479"/>
      <c r="N690" s="479"/>
      <c r="O690" s="479"/>
      <c r="Q690" s="479"/>
    </row>
    <row r="691" spans="1:17">
      <c r="C691" s="478"/>
      <c r="D691" s="477"/>
      <c r="E691" s="477"/>
      <c r="F691" s="477"/>
      <c r="G691" s="477"/>
      <c r="H691" s="475"/>
      <c r="I691" s="475"/>
      <c r="J691" s="479"/>
      <c r="K691" s="479"/>
      <c r="L691" s="479"/>
      <c r="M691" s="479"/>
      <c r="N691" s="479"/>
      <c r="O691" s="479"/>
      <c r="Q691" s="479"/>
    </row>
    <row r="692" spans="1:17" ht="20.25">
      <c r="A692" s="419" t="s">
        <v>763</v>
      </c>
      <c r="B692" s="4"/>
      <c r="C692" s="4"/>
      <c r="D692" s="82"/>
      <c r="E692" s="4"/>
      <c r="F692" s="84"/>
      <c r="G692" s="84"/>
      <c r="H692" s="4"/>
      <c r="I692" s="460"/>
      <c r="L692" s="11"/>
      <c r="M692" s="11"/>
      <c r="N692" s="11"/>
      <c r="O692" s="11" t="str">
        <f>"Page "&amp;SUM(Q$3:Q692)&amp;" of "</f>
        <v xml:space="preserve">Page 11 of </v>
      </c>
      <c r="P692" s="420">
        <f>COUNT(Q$8:Q$58123)</f>
        <v>15</v>
      </c>
      <c r="Q692" s="547">
        <v>1</v>
      </c>
    </row>
    <row r="693" spans="1:17">
      <c r="B693" s="4"/>
      <c r="C693" s="4"/>
      <c r="D693" s="82"/>
      <c r="E693" s="4"/>
      <c r="F693" s="4"/>
      <c r="G693" s="4"/>
      <c r="H693" s="4"/>
      <c r="I693" s="460"/>
      <c r="J693" s="4"/>
      <c r="K693" s="4"/>
    </row>
    <row r="694" spans="1:17" ht="18">
      <c r="B694" s="421" t="s">
        <v>175</v>
      </c>
      <c r="C694" s="480" t="s">
        <v>291</v>
      </c>
      <c r="D694" s="82"/>
      <c r="E694" s="4"/>
      <c r="F694" s="4"/>
      <c r="G694" s="4"/>
      <c r="H694" s="4"/>
      <c r="I694" s="460"/>
      <c r="J694" s="460"/>
      <c r="K694" s="475"/>
      <c r="L694" s="460"/>
      <c r="M694" s="460"/>
      <c r="N694" s="460"/>
      <c r="O694" s="460"/>
      <c r="Q694" s="475"/>
    </row>
    <row r="695" spans="1:17" ht="18.75">
      <c r="B695" s="421"/>
      <c r="C695" s="13"/>
      <c r="D695" s="82"/>
      <c r="E695" s="4"/>
      <c r="F695" s="4"/>
      <c r="G695" s="4"/>
      <c r="H695" s="4"/>
      <c r="I695" s="460"/>
      <c r="J695" s="460"/>
      <c r="K695" s="475"/>
      <c r="L695" s="460"/>
      <c r="M695" s="460"/>
      <c r="N695" s="460"/>
      <c r="O695" s="460"/>
      <c r="Q695" s="475"/>
    </row>
    <row r="696" spans="1:17" ht="18.75">
      <c r="B696" s="421"/>
      <c r="C696" s="13" t="s">
        <v>292</v>
      </c>
      <c r="D696" s="82"/>
      <c r="E696" s="4"/>
      <c r="F696" s="4"/>
      <c r="G696" s="4"/>
      <c r="H696" s="4"/>
      <c r="I696" s="460"/>
      <c r="J696" s="460"/>
      <c r="K696" s="475"/>
      <c r="L696" s="460"/>
      <c r="M696" s="460"/>
      <c r="N696" s="460"/>
      <c r="O696" s="460"/>
      <c r="Q696" s="475"/>
    </row>
    <row r="697" spans="1:17" ht="15.75" thickBot="1">
      <c r="C697" s="254"/>
      <c r="D697" s="82"/>
      <c r="E697" s="4"/>
      <c r="F697" s="4"/>
      <c r="G697" s="4"/>
      <c r="H697" s="4"/>
      <c r="I697" s="460"/>
      <c r="J697" s="460"/>
      <c r="K697" s="475"/>
      <c r="L697" s="460"/>
      <c r="M697" s="460"/>
      <c r="N697" s="460"/>
      <c r="O697" s="460"/>
      <c r="Q697" s="475"/>
    </row>
    <row r="698" spans="1:17" ht="15.75">
      <c r="C698" s="422" t="s">
        <v>293</v>
      </c>
      <c r="D698" s="82"/>
      <c r="E698" s="4"/>
      <c r="F698" s="4"/>
      <c r="G698" s="4"/>
      <c r="H698" s="645"/>
      <c r="I698" s="4" t="s">
        <v>272</v>
      </c>
      <c r="J698" s="4"/>
      <c r="K698" s="4"/>
      <c r="L698" s="548">
        <f>+J704</f>
        <v>2025</v>
      </c>
      <c r="M698" s="532" t="s">
        <v>255</v>
      </c>
      <c r="N698" s="532" t="s">
        <v>256</v>
      </c>
      <c r="O698" s="533" t="s">
        <v>257</v>
      </c>
    </row>
    <row r="699" spans="1:17" ht="15.75">
      <c r="C699" s="422"/>
      <c r="D699" s="82"/>
      <c r="E699" s="4"/>
      <c r="F699" s="4"/>
      <c r="H699" s="4"/>
      <c r="I699" s="484"/>
      <c r="J699" s="484"/>
      <c r="K699" s="485"/>
      <c r="L699" s="549" t="s">
        <v>456</v>
      </c>
      <c r="M699" s="550">
        <f>VLOOKUP(J704,C711:P770,10)</f>
        <v>26811.100445821277</v>
      </c>
      <c r="N699" s="550">
        <f>VLOOKUP(J704,C711:P770,12)</f>
        <v>26811.100445821277</v>
      </c>
      <c r="O699" s="551">
        <f>+N699-M699</f>
        <v>0</v>
      </c>
      <c r="Q699" s="485"/>
    </row>
    <row r="700" spans="1:17">
      <c r="C700" s="487" t="s">
        <v>294</v>
      </c>
      <c r="D700" s="1274" t="s">
        <v>939</v>
      </c>
      <c r="E700" s="1275"/>
      <c r="F700" s="1275"/>
      <c r="G700" s="1275"/>
      <c r="H700" s="1275"/>
      <c r="I700" s="1275"/>
      <c r="J700" s="460"/>
      <c r="K700" s="475"/>
      <c r="L700" s="549" t="s">
        <v>457</v>
      </c>
      <c r="M700" s="552">
        <f>VLOOKUP(J704,C711:P770,6)</f>
        <v>21157.559096613408</v>
      </c>
      <c r="N700" s="552">
        <f>VLOOKUP(J704,C711:P770,7)</f>
        <v>21157.559096613408</v>
      </c>
      <c r="O700" s="553">
        <f>+N700-M700</f>
        <v>0</v>
      </c>
      <c r="Q700" s="475"/>
    </row>
    <row r="701" spans="1:17" ht="13.5" thickBot="1">
      <c r="C701" s="489"/>
      <c r="D701" s="1275"/>
      <c r="E701" s="1275"/>
      <c r="F701" s="1275"/>
      <c r="G701" s="1275"/>
      <c r="H701" s="1275"/>
      <c r="I701" s="1275"/>
      <c r="J701" s="460"/>
      <c r="K701" s="475"/>
      <c r="L701" s="499" t="s">
        <v>458</v>
      </c>
      <c r="M701" s="554">
        <f>+M700-M699</f>
        <v>-5653.5413492078696</v>
      </c>
      <c r="N701" s="554">
        <f>+N700-N699</f>
        <v>-5653.5413492078696</v>
      </c>
      <c r="O701" s="555">
        <f>+O700-O699</f>
        <v>0</v>
      </c>
      <c r="Q701" s="475"/>
    </row>
    <row r="702" spans="1:17" ht="13.5" thickBot="1">
      <c r="C702" s="489"/>
      <c r="D702" s="4"/>
      <c r="E702" s="490"/>
      <c r="F702" s="490"/>
      <c r="G702" s="490"/>
      <c r="H702" s="490"/>
      <c r="I702" s="490"/>
      <c r="J702" s="490"/>
      <c r="K702" s="490"/>
      <c r="L702" s="490"/>
      <c r="M702" s="490"/>
      <c r="N702" s="490"/>
      <c r="O702" s="490"/>
      <c r="Q702" s="490"/>
    </row>
    <row r="703" spans="1:17" ht="13.5" thickBot="1">
      <c r="C703" s="491" t="s">
        <v>295</v>
      </c>
      <c r="D703" s="492"/>
      <c r="E703" s="492"/>
      <c r="F703" s="492"/>
      <c r="G703" s="492"/>
      <c r="H703" s="492"/>
      <c r="I703" s="492"/>
      <c r="J703" s="492"/>
      <c r="Q703"/>
    </row>
    <row r="704" spans="1:17" ht="15">
      <c r="A704" s="978"/>
      <c r="C704" s="494" t="s">
        <v>273</v>
      </c>
      <c r="D704" s="979">
        <v>190447.32</v>
      </c>
      <c r="E704" s="4" t="s">
        <v>274</v>
      </c>
      <c r="H704" s="82"/>
      <c r="I704" s="82"/>
      <c r="J704" s="495">
        <f>$J$95</f>
        <v>2025</v>
      </c>
      <c r="K704" s="138"/>
      <c r="L704" s="1284" t="s">
        <v>275</v>
      </c>
      <c r="M704" s="1284"/>
      <c r="N704" s="1284"/>
      <c r="O704" s="1284"/>
      <c r="Q704" s="138"/>
    </row>
    <row r="705" spans="1:17">
      <c r="A705" s="978"/>
      <c r="C705" s="494" t="s">
        <v>276</v>
      </c>
      <c r="D705" s="647">
        <v>2016</v>
      </c>
      <c r="E705" s="494" t="s">
        <v>277</v>
      </c>
      <c r="F705" s="82"/>
      <c r="G705" s="82"/>
      <c r="I705"/>
      <c r="J705" s="650">
        <v>0</v>
      </c>
      <c r="K705" s="496"/>
      <c r="L705" s="475" t="s">
        <v>476</v>
      </c>
      <c r="Q705" s="496"/>
    </row>
    <row r="706" spans="1:17">
      <c r="A706" s="978"/>
      <c r="C706" s="494" t="s">
        <v>278</v>
      </c>
      <c r="D706" s="946">
        <v>6</v>
      </c>
      <c r="E706" s="494" t="s">
        <v>279</v>
      </c>
      <c r="F706" s="82"/>
      <c r="G706" s="82"/>
      <c r="I706"/>
      <c r="J706" s="497">
        <f>$F$70</f>
        <v>0.11108872081308177</v>
      </c>
      <c r="K706" s="84"/>
      <c r="L706" s="4" t="str">
        <f>"          INPUT TRUE-UP ARR (WITH &amp; WITHOUT INCENTIVES) FROM EACH PRIOR YEAR"</f>
        <v xml:space="preserve">          INPUT TRUE-UP ARR (WITH &amp; WITHOUT INCENTIVES) FROM EACH PRIOR YEAR</v>
      </c>
      <c r="Q706" s="84"/>
    </row>
    <row r="707" spans="1:17">
      <c r="A707" s="978"/>
      <c r="C707" s="494" t="s">
        <v>280</v>
      </c>
      <c r="D707" s="498">
        <f>H79</f>
        <v>38</v>
      </c>
      <c r="E707" s="494" t="s">
        <v>281</v>
      </c>
      <c r="F707" s="82"/>
      <c r="G707" s="82"/>
      <c r="I707"/>
      <c r="J707" s="497">
        <f>IF(H698="",J706,$F$69)</f>
        <v>0.11108872081308177</v>
      </c>
      <c r="K707" s="84"/>
      <c r="L707" s="4" t="s">
        <v>363</v>
      </c>
      <c r="M707" s="84"/>
      <c r="N707" s="84"/>
      <c r="O707" s="84"/>
      <c r="Q707" s="84"/>
    </row>
    <row r="708" spans="1:17" ht="13.5" thickBot="1">
      <c r="A708" s="978"/>
      <c r="C708" s="494" t="s">
        <v>282</v>
      </c>
      <c r="D708" s="649" t="s">
        <v>930</v>
      </c>
      <c r="E708" s="499" t="s">
        <v>283</v>
      </c>
      <c r="F708" s="500"/>
      <c r="G708" s="500"/>
      <c r="H708" s="501"/>
      <c r="I708" s="501"/>
      <c r="J708" s="488">
        <f>IF(D704=0,0,D704/D707)</f>
        <v>5011.7715789473687</v>
      </c>
      <c r="K708" s="475"/>
      <c r="L708" s="475" t="s">
        <v>364</v>
      </c>
      <c r="M708" s="475"/>
      <c r="N708" s="475"/>
      <c r="O708" s="475"/>
      <c r="Q708" s="475"/>
    </row>
    <row r="709" spans="1:17" ht="38.25">
      <c r="A709" s="12"/>
      <c r="B709" s="12"/>
      <c r="C709" s="502" t="s">
        <v>273</v>
      </c>
      <c r="D709" s="503" t="s">
        <v>284</v>
      </c>
      <c r="E709" s="504" t="s">
        <v>285</v>
      </c>
      <c r="F709" s="503" t="s">
        <v>286</v>
      </c>
      <c r="G709" s="503" t="s">
        <v>459</v>
      </c>
      <c r="H709" s="504" t="s">
        <v>357</v>
      </c>
      <c r="I709" s="505" t="s">
        <v>357</v>
      </c>
      <c r="J709" s="502" t="s">
        <v>296</v>
      </c>
      <c r="K709" s="506"/>
      <c r="L709" s="504" t="s">
        <v>359</v>
      </c>
      <c r="M709" s="504" t="s">
        <v>365</v>
      </c>
      <c r="N709" s="504" t="s">
        <v>359</v>
      </c>
      <c r="O709" s="504" t="s">
        <v>367</v>
      </c>
      <c r="P709" s="504" t="s">
        <v>287</v>
      </c>
      <c r="Q709" s="131"/>
    </row>
    <row r="710" spans="1:17" ht="13.5" thickBot="1">
      <c r="C710" s="507" t="s">
        <v>178</v>
      </c>
      <c r="D710" s="508" t="s">
        <v>179</v>
      </c>
      <c r="E710" s="507" t="s">
        <v>38</v>
      </c>
      <c r="F710" s="508" t="s">
        <v>179</v>
      </c>
      <c r="G710" s="508" t="s">
        <v>179</v>
      </c>
      <c r="H710" s="509" t="s">
        <v>299</v>
      </c>
      <c r="I710" s="510" t="s">
        <v>301</v>
      </c>
      <c r="J710" s="507" t="s">
        <v>390</v>
      </c>
      <c r="K710" s="511"/>
      <c r="L710" s="509" t="s">
        <v>288</v>
      </c>
      <c r="M710" s="509" t="s">
        <v>288</v>
      </c>
      <c r="N710" s="509" t="s">
        <v>468</v>
      </c>
      <c r="O710" s="509" t="s">
        <v>468</v>
      </c>
      <c r="P710" s="509" t="s">
        <v>468</v>
      </c>
      <c r="Q710" s="138"/>
    </row>
    <row r="711" spans="1:17">
      <c r="C711" s="512">
        <f>IF(D705= "","-",D705)</f>
        <v>2016</v>
      </c>
      <c r="D711" s="477">
        <f>+D704</f>
        <v>190447.32</v>
      </c>
      <c r="E711" s="513">
        <f>+J708/12*(12-D706)</f>
        <v>2505.8857894736843</v>
      </c>
      <c r="F711" s="556">
        <f t="shared" ref="F711:F770" si="65">+D711-E711</f>
        <v>187941.43421052632</v>
      </c>
      <c r="G711" s="477">
        <f t="shared" ref="G711:G770" si="66">+(D711+F711)/2</f>
        <v>189194.37710526318</v>
      </c>
      <c r="H711" s="514">
        <f>+J706*G711+E711</f>
        <v>23523.247127125174</v>
      </c>
      <c r="I711" s="515">
        <f>+J707*G711+E711</f>
        <v>23523.247127125174</v>
      </c>
      <c r="J711" s="516">
        <f t="shared" ref="J711:J770" si="67">+I711-H711</f>
        <v>0</v>
      </c>
      <c r="K711" s="516"/>
      <c r="L711" s="517">
        <v>149902</v>
      </c>
      <c r="M711" s="557">
        <f t="shared" ref="M711:M770" si="68">IF(L711&lt;&gt;0,+H711-L711,0)</f>
        <v>-126378.75287287483</v>
      </c>
      <c r="N711" s="517">
        <v>149902</v>
      </c>
      <c r="O711" s="557">
        <f t="shared" ref="O711:O770" si="69">IF(N711&lt;&gt;0,+I711-N711,0)</f>
        <v>-126378.75287287483</v>
      </c>
      <c r="P711" s="557">
        <f t="shared" ref="P711:P770" si="70">+O711-M711</f>
        <v>0</v>
      </c>
      <c r="Q711" s="479"/>
    </row>
    <row r="712" spans="1:17">
      <c r="C712" s="512">
        <f>IF(D705="","-",+C711+1)</f>
        <v>2017</v>
      </c>
      <c r="D712" s="477">
        <f t="shared" ref="D712:D770" si="71">F711</f>
        <v>187941.43421052632</v>
      </c>
      <c r="E712" s="519">
        <f>IF(D712&gt;$J$708,$J$708,D712)</f>
        <v>5011.7715789473687</v>
      </c>
      <c r="F712" s="519">
        <f t="shared" si="65"/>
        <v>182929.66263157895</v>
      </c>
      <c r="G712" s="477">
        <f t="shared" si="66"/>
        <v>185435.54842105263</v>
      </c>
      <c r="H712" s="513">
        <f>+J706*G712+E712</f>
        <v>25611.569446314392</v>
      </c>
      <c r="I712" s="520">
        <f>+J707*G712+E712</f>
        <v>25611.569446314392</v>
      </c>
      <c r="J712" s="516">
        <f t="shared" si="67"/>
        <v>0</v>
      </c>
      <c r="K712" s="516"/>
      <c r="L712" s="521">
        <v>92121</v>
      </c>
      <c r="M712" s="516">
        <f t="shared" si="68"/>
        <v>-66509.430553685612</v>
      </c>
      <c r="N712" s="521">
        <v>92121</v>
      </c>
      <c r="O712" s="516">
        <f t="shared" si="69"/>
        <v>-66509.430553685612</v>
      </c>
      <c r="P712" s="516">
        <f t="shared" si="70"/>
        <v>0</v>
      </c>
      <c r="Q712" s="479"/>
    </row>
    <row r="713" spans="1:17">
      <c r="C713" s="512">
        <f>IF(D705="","-",+C712+1)</f>
        <v>2018</v>
      </c>
      <c r="D713" s="477">
        <f t="shared" si="71"/>
        <v>182929.66263157895</v>
      </c>
      <c r="E713" s="519">
        <f t="shared" ref="E713:E770" si="72">IF(D713&gt;$J$708,$J$708,D713)</f>
        <v>5011.7715789473687</v>
      </c>
      <c r="F713" s="519">
        <f t="shared" si="65"/>
        <v>177917.89105263157</v>
      </c>
      <c r="G713" s="477">
        <f t="shared" si="66"/>
        <v>180423.77684210526</v>
      </c>
      <c r="H713" s="513">
        <f>+J706*G713+E713</f>
        <v>25054.818152601769</v>
      </c>
      <c r="I713" s="520">
        <f>+J707*G713+E713</f>
        <v>25054.818152601769</v>
      </c>
      <c r="J713" s="516">
        <f t="shared" si="67"/>
        <v>0</v>
      </c>
      <c r="K713" s="516"/>
      <c r="L713" s="521">
        <v>77231</v>
      </c>
      <c r="M713" s="516">
        <f t="shared" si="68"/>
        <v>-52176.181847398228</v>
      </c>
      <c r="N713" s="521">
        <v>77231</v>
      </c>
      <c r="O713" s="516">
        <f t="shared" si="69"/>
        <v>-52176.181847398228</v>
      </c>
      <c r="P713" s="516">
        <f t="shared" si="70"/>
        <v>0</v>
      </c>
      <c r="Q713" s="479"/>
    </row>
    <row r="714" spans="1:17">
      <c r="C714" s="512">
        <f>IF(D705="","-",+C713+1)</f>
        <v>2019</v>
      </c>
      <c r="D714" s="477">
        <f t="shared" si="71"/>
        <v>177917.89105263157</v>
      </c>
      <c r="E714" s="519">
        <f t="shared" si="72"/>
        <v>5011.7715789473687</v>
      </c>
      <c r="F714" s="519">
        <f t="shared" si="65"/>
        <v>172906.1194736842</v>
      </c>
      <c r="G714" s="477">
        <f t="shared" si="66"/>
        <v>175412.00526315789</v>
      </c>
      <c r="H714" s="513">
        <f>+J706*G714+E714</f>
        <v>24498.066858889146</v>
      </c>
      <c r="I714" s="520">
        <f>+J707*G714+E714</f>
        <v>24498.066858889146</v>
      </c>
      <c r="J714" s="516">
        <f t="shared" si="67"/>
        <v>0</v>
      </c>
      <c r="K714" s="516"/>
      <c r="L714" s="521"/>
      <c r="M714" s="516">
        <f t="shared" si="68"/>
        <v>0</v>
      </c>
      <c r="N714" s="521"/>
      <c r="O714" s="516">
        <f t="shared" si="69"/>
        <v>0</v>
      </c>
      <c r="P714" s="516">
        <f t="shared" si="70"/>
        <v>0</v>
      </c>
      <c r="Q714" s="479"/>
    </row>
    <row r="715" spans="1:17">
      <c r="C715" s="512">
        <f>IF(D705="","-",+C714+1)</f>
        <v>2020</v>
      </c>
      <c r="D715" s="477">
        <f t="shared" si="71"/>
        <v>172906.1194736842</v>
      </c>
      <c r="E715" s="519">
        <f t="shared" si="72"/>
        <v>5011.7715789473687</v>
      </c>
      <c r="F715" s="519">
        <f t="shared" si="65"/>
        <v>167894.34789473683</v>
      </c>
      <c r="G715" s="477">
        <f t="shared" si="66"/>
        <v>170400.23368421051</v>
      </c>
      <c r="H715" s="513">
        <f>+J706*G715+E715</f>
        <v>23941.315565176523</v>
      </c>
      <c r="I715" s="520">
        <f>+J707*G715+E715</f>
        <v>23941.315565176523</v>
      </c>
      <c r="J715" s="516">
        <f t="shared" si="67"/>
        <v>0</v>
      </c>
      <c r="K715" s="516"/>
      <c r="L715" s="521"/>
      <c r="M715" s="516">
        <f t="shared" si="68"/>
        <v>0</v>
      </c>
      <c r="N715" s="521"/>
      <c r="O715" s="516">
        <f t="shared" si="69"/>
        <v>0</v>
      </c>
      <c r="P715" s="516">
        <f t="shared" si="70"/>
        <v>0</v>
      </c>
      <c r="Q715" s="479"/>
    </row>
    <row r="716" spans="1:17">
      <c r="C716" s="512">
        <f>IF(D705="","-",+C715+1)</f>
        <v>2021</v>
      </c>
      <c r="D716" s="477">
        <f t="shared" si="71"/>
        <v>167894.34789473683</v>
      </c>
      <c r="E716" s="519">
        <f t="shared" si="72"/>
        <v>5011.7715789473687</v>
      </c>
      <c r="F716" s="519">
        <f t="shared" si="65"/>
        <v>162882.57631578945</v>
      </c>
      <c r="G716" s="477">
        <f t="shared" si="66"/>
        <v>165388.46210526314</v>
      </c>
      <c r="H716" s="513">
        <f>+J706*G716+E716</f>
        <v>23384.5642714639</v>
      </c>
      <c r="I716" s="520">
        <f>+J707*G716+E716</f>
        <v>23384.5642714639</v>
      </c>
      <c r="J716" s="516">
        <f t="shared" si="67"/>
        <v>0</v>
      </c>
      <c r="K716" s="516"/>
      <c r="L716" s="521"/>
      <c r="M716" s="516">
        <f t="shared" si="68"/>
        <v>0</v>
      </c>
      <c r="N716" s="521"/>
      <c r="O716" s="516">
        <f t="shared" si="69"/>
        <v>0</v>
      </c>
      <c r="P716" s="516">
        <f t="shared" si="70"/>
        <v>0</v>
      </c>
      <c r="Q716" s="479"/>
    </row>
    <row r="717" spans="1:17">
      <c r="C717" s="512">
        <f>IF(D705="","-",+C716+1)</f>
        <v>2022</v>
      </c>
      <c r="D717" s="477">
        <f t="shared" si="71"/>
        <v>162882.57631578945</v>
      </c>
      <c r="E717" s="519">
        <f t="shared" si="72"/>
        <v>5011.7715789473687</v>
      </c>
      <c r="F717" s="519">
        <f t="shared" si="65"/>
        <v>157870.80473684208</v>
      </c>
      <c r="G717" s="477">
        <f t="shared" si="66"/>
        <v>160376.69052631577</v>
      </c>
      <c r="H717" s="513">
        <f>+J706*G717+E717</f>
        <v>22827.812977751277</v>
      </c>
      <c r="I717" s="520">
        <f>+J707*G717+E717</f>
        <v>22827.812977751277</v>
      </c>
      <c r="J717" s="516">
        <f t="shared" si="67"/>
        <v>0</v>
      </c>
      <c r="K717" s="516"/>
      <c r="L717" s="521"/>
      <c r="M717" s="516">
        <f t="shared" si="68"/>
        <v>0</v>
      </c>
      <c r="N717" s="521"/>
      <c r="O717" s="516">
        <f t="shared" si="69"/>
        <v>0</v>
      </c>
      <c r="P717" s="516">
        <f t="shared" si="70"/>
        <v>0</v>
      </c>
      <c r="Q717" s="479"/>
    </row>
    <row r="718" spans="1:17">
      <c r="C718" s="512">
        <f>IF(D705="","-",+C717+1)</f>
        <v>2023</v>
      </c>
      <c r="D718" s="477">
        <f t="shared" si="71"/>
        <v>157870.80473684208</v>
      </c>
      <c r="E718" s="519">
        <f t="shared" si="72"/>
        <v>5011.7715789473687</v>
      </c>
      <c r="F718" s="519">
        <f t="shared" si="65"/>
        <v>152859.03315789471</v>
      </c>
      <c r="G718" s="477">
        <f t="shared" si="66"/>
        <v>155364.91894736839</v>
      </c>
      <c r="H718" s="513">
        <f>+J706*G718+E718</f>
        <v>22271.061684038654</v>
      </c>
      <c r="I718" s="520">
        <f>+J707*G718+E718</f>
        <v>22271.061684038654</v>
      </c>
      <c r="J718" s="516">
        <f t="shared" si="67"/>
        <v>0</v>
      </c>
      <c r="K718" s="516"/>
      <c r="L718" s="521"/>
      <c r="M718" s="516">
        <f t="shared" si="68"/>
        <v>0</v>
      </c>
      <c r="N718" s="521"/>
      <c r="O718" s="516">
        <f t="shared" si="69"/>
        <v>0</v>
      </c>
      <c r="P718" s="516">
        <f t="shared" si="70"/>
        <v>0</v>
      </c>
      <c r="Q718" s="479"/>
    </row>
    <row r="719" spans="1:17">
      <c r="C719" s="512">
        <f>IF(D705="","-",+C718+1)</f>
        <v>2024</v>
      </c>
      <c r="D719" s="477">
        <f t="shared" si="71"/>
        <v>152859.03315789471</v>
      </c>
      <c r="E719" s="519">
        <f t="shared" si="72"/>
        <v>5011.7715789473687</v>
      </c>
      <c r="F719" s="519">
        <f t="shared" si="65"/>
        <v>147847.26157894733</v>
      </c>
      <c r="G719" s="477">
        <f t="shared" si="66"/>
        <v>150353.14736842102</v>
      </c>
      <c r="H719" s="513">
        <f>+J706*G719+E719</f>
        <v>21714.310390326031</v>
      </c>
      <c r="I719" s="520">
        <f>+J707*G719+E719</f>
        <v>21714.310390326031</v>
      </c>
      <c r="J719" s="516">
        <f t="shared" si="67"/>
        <v>0</v>
      </c>
      <c r="K719" s="516"/>
      <c r="L719" s="521">
        <v>26057.142586534792</v>
      </c>
      <c r="M719" s="516">
        <f t="shared" si="68"/>
        <v>-4342.8321962087612</v>
      </c>
      <c r="N719" s="521">
        <v>26057.142586534792</v>
      </c>
      <c r="O719" s="516">
        <f t="shared" si="69"/>
        <v>-4342.8321962087612</v>
      </c>
      <c r="P719" s="516">
        <f t="shared" si="70"/>
        <v>0</v>
      </c>
      <c r="Q719" s="479"/>
    </row>
    <row r="720" spans="1:17">
      <c r="C720" s="512">
        <f>IF(D705="","-",+C719+1)</f>
        <v>2025</v>
      </c>
      <c r="D720" s="477">
        <f t="shared" si="71"/>
        <v>147847.26157894733</v>
      </c>
      <c r="E720" s="519">
        <f t="shared" si="72"/>
        <v>5011.7715789473687</v>
      </c>
      <c r="F720" s="519">
        <f t="shared" si="65"/>
        <v>142835.48999999996</v>
      </c>
      <c r="G720" s="477">
        <f t="shared" si="66"/>
        <v>145341.37578947365</v>
      </c>
      <c r="H720" s="513">
        <f>+J706*G720+E720</f>
        <v>21157.559096613408</v>
      </c>
      <c r="I720" s="520">
        <f>+J707*G720+E720</f>
        <v>21157.559096613408</v>
      </c>
      <c r="J720" s="516">
        <f t="shared" si="67"/>
        <v>0</v>
      </c>
      <c r="K720" s="516"/>
      <c r="L720" s="521">
        <v>26811.100445821277</v>
      </c>
      <c r="M720" s="516">
        <f t="shared" si="68"/>
        <v>-5653.5413492078696</v>
      </c>
      <c r="N720" s="521">
        <v>26811.100445821277</v>
      </c>
      <c r="O720" s="516">
        <f t="shared" si="69"/>
        <v>-5653.5413492078696</v>
      </c>
      <c r="P720" s="516">
        <f t="shared" si="70"/>
        <v>0</v>
      </c>
      <c r="Q720" s="479"/>
    </row>
    <row r="721" spans="3:17">
      <c r="C721" s="512">
        <f>IF(D705="","-",+C720+1)</f>
        <v>2026</v>
      </c>
      <c r="D721" s="477">
        <f t="shared" si="71"/>
        <v>142835.48999999996</v>
      </c>
      <c r="E721" s="519">
        <f t="shared" si="72"/>
        <v>5011.7715789473687</v>
      </c>
      <c r="F721" s="519">
        <f t="shared" si="65"/>
        <v>137823.71842105259</v>
      </c>
      <c r="G721" s="477">
        <f t="shared" si="66"/>
        <v>140329.60421052627</v>
      </c>
      <c r="H721" s="513">
        <f>+J706*G721+E721</f>
        <v>20600.807802900785</v>
      </c>
      <c r="I721" s="520">
        <f>+J707*G721+E721</f>
        <v>20600.807802900785</v>
      </c>
      <c r="J721" s="516">
        <f t="shared" si="67"/>
        <v>0</v>
      </c>
      <c r="K721" s="516"/>
      <c r="L721" s="521"/>
      <c r="M721" s="516">
        <f t="shared" si="68"/>
        <v>0</v>
      </c>
      <c r="N721" s="521"/>
      <c r="O721" s="516">
        <f t="shared" si="69"/>
        <v>0</v>
      </c>
      <c r="P721" s="516">
        <f t="shared" si="70"/>
        <v>0</v>
      </c>
      <c r="Q721" s="479"/>
    </row>
    <row r="722" spans="3:17">
      <c r="C722" s="512">
        <f>IF(D705="","-",+C721+1)</f>
        <v>2027</v>
      </c>
      <c r="D722" s="477">
        <f t="shared" si="71"/>
        <v>137823.71842105259</v>
      </c>
      <c r="E722" s="519">
        <f t="shared" si="72"/>
        <v>5011.7715789473687</v>
      </c>
      <c r="F722" s="519">
        <f t="shared" si="65"/>
        <v>132811.94684210522</v>
      </c>
      <c r="G722" s="477">
        <f t="shared" si="66"/>
        <v>135317.8326315789</v>
      </c>
      <c r="H722" s="513">
        <f>+J706*G722+E722</f>
        <v>20044.056509188162</v>
      </c>
      <c r="I722" s="520">
        <f>+J707*G722+E722</f>
        <v>20044.056509188162</v>
      </c>
      <c r="J722" s="516">
        <f t="shared" si="67"/>
        <v>0</v>
      </c>
      <c r="K722" s="516"/>
      <c r="L722" s="521"/>
      <c r="M722" s="516">
        <f t="shared" si="68"/>
        <v>0</v>
      </c>
      <c r="N722" s="521"/>
      <c r="O722" s="516">
        <f t="shared" si="69"/>
        <v>0</v>
      </c>
      <c r="P722" s="516">
        <f t="shared" si="70"/>
        <v>0</v>
      </c>
      <c r="Q722" s="479"/>
    </row>
    <row r="723" spans="3:17">
      <c r="C723" s="512">
        <f>IF(D705="","-",+C722+1)</f>
        <v>2028</v>
      </c>
      <c r="D723" s="477">
        <f t="shared" si="71"/>
        <v>132811.94684210522</v>
      </c>
      <c r="E723" s="519">
        <f t="shared" si="72"/>
        <v>5011.7715789473687</v>
      </c>
      <c r="F723" s="519">
        <f t="shared" si="65"/>
        <v>127800.17526315784</v>
      </c>
      <c r="G723" s="477">
        <f t="shared" si="66"/>
        <v>130306.06105263153</v>
      </c>
      <c r="H723" s="513">
        <f>+J706*G723+E723</f>
        <v>19487.305215475542</v>
      </c>
      <c r="I723" s="520">
        <f>+J707*G723+E723</f>
        <v>19487.305215475542</v>
      </c>
      <c r="J723" s="516">
        <f t="shared" si="67"/>
        <v>0</v>
      </c>
      <c r="K723" s="516"/>
      <c r="L723" s="521"/>
      <c r="M723" s="516">
        <f t="shared" si="68"/>
        <v>0</v>
      </c>
      <c r="N723" s="521"/>
      <c r="O723" s="516">
        <f t="shared" si="69"/>
        <v>0</v>
      </c>
      <c r="P723" s="516">
        <f t="shared" si="70"/>
        <v>0</v>
      </c>
      <c r="Q723" s="479"/>
    </row>
    <row r="724" spans="3:17">
      <c r="C724" s="512">
        <f>IF(D705="","-",+C723+1)</f>
        <v>2029</v>
      </c>
      <c r="D724" s="477">
        <f t="shared" si="71"/>
        <v>127800.17526315784</v>
      </c>
      <c r="E724" s="519">
        <f t="shared" si="72"/>
        <v>5011.7715789473687</v>
      </c>
      <c r="F724" s="519">
        <f t="shared" si="65"/>
        <v>122788.40368421047</v>
      </c>
      <c r="G724" s="477">
        <f t="shared" si="66"/>
        <v>125294.28947368416</v>
      </c>
      <c r="H724" s="513">
        <f>+J706*G724+E724</f>
        <v>18930.553921762919</v>
      </c>
      <c r="I724" s="520">
        <f>+J707*G724+E724</f>
        <v>18930.553921762919</v>
      </c>
      <c r="J724" s="516">
        <f t="shared" si="67"/>
        <v>0</v>
      </c>
      <c r="K724" s="516"/>
      <c r="L724" s="521"/>
      <c r="M724" s="516">
        <f t="shared" si="68"/>
        <v>0</v>
      </c>
      <c r="N724" s="521"/>
      <c r="O724" s="516">
        <f t="shared" si="69"/>
        <v>0</v>
      </c>
      <c r="P724" s="516">
        <f t="shared" si="70"/>
        <v>0</v>
      </c>
      <c r="Q724" s="479"/>
    </row>
    <row r="725" spans="3:17">
      <c r="C725" s="512">
        <f>IF(D705="","-",+C724+1)</f>
        <v>2030</v>
      </c>
      <c r="D725" s="477">
        <f t="shared" si="71"/>
        <v>122788.40368421047</v>
      </c>
      <c r="E725" s="519">
        <f t="shared" si="72"/>
        <v>5011.7715789473687</v>
      </c>
      <c r="F725" s="519">
        <f t="shared" si="65"/>
        <v>117776.6321052631</v>
      </c>
      <c r="G725" s="477">
        <f t="shared" si="66"/>
        <v>120282.51789473678</v>
      </c>
      <c r="H725" s="513">
        <f>+J706*G725+E725</f>
        <v>18373.802628050296</v>
      </c>
      <c r="I725" s="520">
        <f>+J707*G725+E725</f>
        <v>18373.802628050296</v>
      </c>
      <c r="J725" s="516">
        <f t="shared" si="67"/>
        <v>0</v>
      </c>
      <c r="K725" s="516"/>
      <c r="L725" s="521"/>
      <c r="M725" s="516">
        <f t="shared" si="68"/>
        <v>0</v>
      </c>
      <c r="N725" s="521"/>
      <c r="O725" s="516">
        <f t="shared" si="69"/>
        <v>0</v>
      </c>
      <c r="P725" s="516">
        <f t="shared" si="70"/>
        <v>0</v>
      </c>
      <c r="Q725" s="479"/>
    </row>
    <row r="726" spans="3:17">
      <c r="C726" s="512">
        <f>IF(D705="","-",+C725+1)</f>
        <v>2031</v>
      </c>
      <c r="D726" s="477">
        <f t="shared" si="71"/>
        <v>117776.6321052631</v>
      </c>
      <c r="E726" s="519">
        <f t="shared" si="72"/>
        <v>5011.7715789473687</v>
      </c>
      <c r="F726" s="519">
        <f t="shared" si="65"/>
        <v>112764.86052631572</v>
      </c>
      <c r="G726" s="477">
        <f t="shared" si="66"/>
        <v>115270.74631578941</v>
      </c>
      <c r="H726" s="513">
        <f>+J706*G726+E726</f>
        <v>17817.051334337673</v>
      </c>
      <c r="I726" s="520">
        <f>+J707*G726+E726</f>
        <v>17817.051334337673</v>
      </c>
      <c r="J726" s="516">
        <f t="shared" si="67"/>
        <v>0</v>
      </c>
      <c r="K726" s="516"/>
      <c r="L726" s="521"/>
      <c r="M726" s="516">
        <f t="shared" si="68"/>
        <v>0</v>
      </c>
      <c r="N726" s="521"/>
      <c r="O726" s="516">
        <f t="shared" si="69"/>
        <v>0</v>
      </c>
      <c r="P726" s="516">
        <f t="shared" si="70"/>
        <v>0</v>
      </c>
      <c r="Q726" s="479"/>
    </row>
    <row r="727" spans="3:17">
      <c r="C727" s="512">
        <f>IF(D705="","-",+C726+1)</f>
        <v>2032</v>
      </c>
      <c r="D727" s="477">
        <f t="shared" si="71"/>
        <v>112764.86052631572</v>
      </c>
      <c r="E727" s="519">
        <f t="shared" si="72"/>
        <v>5011.7715789473687</v>
      </c>
      <c r="F727" s="519">
        <f t="shared" si="65"/>
        <v>107753.08894736835</v>
      </c>
      <c r="G727" s="477">
        <f t="shared" si="66"/>
        <v>110258.97473684204</v>
      </c>
      <c r="H727" s="513">
        <f>+J706*G727+E727</f>
        <v>17260.30004062505</v>
      </c>
      <c r="I727" s="520">
        <f>+J707*G727+E727</f>
        <v>17260.30004062505</v>
      </c>
      <c r="J727" s="516">
        <f t="shared" si="67"/>
        <v>0</v>
      </c>
      <c r="K727" s="516"/>
      <c r="L727" s="521"/>
      <c r="M727" s="516">
        <f t="shared" si="68"/>
        <v>0</v>
      </c>
      <c r="N727" s="521"/>
      <c r="O727" s="516">
        <f t="shared" si="69"/>
        <v>0</v>
      </c>
      <c r="P727" s="516">
        <f t="shared" si="70"/>
        <v>0</v>
      </c>
      <c r="Q727" s="479"/>
    </row>
    <row r="728" spans="3:17">
      <c r="C728" s="512">
        <f>IF(D705="","-",+C727+1)</f>
        <v>2033</v>
      </c>
      <c r="D728" s="477">
        <f t="shared" si="71"/>
        <v>107753.08894736835</v>
      </c>
      <c r="E728" s="519">
        <f t="shared" si="72"/>
        <v>5011.7715789473687</v>
      </c>
      <c r="F728" s="519">
        <f t="shared" si="65"/>
        <v>102741.31736842098</v>
      </c>
      <c r="G728" s="477">
        <f t="shared" si="66"/>
        <v>105247.20315789466</v>
      </c>
      <c r="H728" s="513">
        <f>+J706*G728+E728</f>
        <v>16703.548746912427</v>
      </c>
      <c r="I728" s="520">
        <f>+J707*G728+E728</f>
        <v>16703.548746912427</v>
      </c>
      <c r="J728" s="516">
        <f t="shared" si="67"/>
        <v>0</v>
      </c>
      <c r="K728" s="516"/>
      <c r="L728" s="521"/>
      <c r="M728" s="516">
        <f t="shared" si="68"/>
        <v>0</v>
      </c>
      <c r="N728" s="521"/>
      <c r="O728" s="516">
        <f t="shared" si="69"/>
        <v>0</v>
      </c>
      <c r="P728" s="516">
        <f t="shared" si="70"/>
        <v>0</v>
      </c>
      <c r="Q728" s="479"/>
    </row>
    <row r="729" spans="3:17">
      <c r="C729" s="512">
        <f>IF(D705="","-",+C728+1)</f>
        <v>2034</v>
      </c>
      <c r="D729" s="477">
        <f t="shared" si="71"/>
        <v>102741.31736842098</v>
      </c>
      <c r="E729" s="519">
        <f t="shared" si="72"/>
        <v>5011.7715789473687</v>
      </c>
      <c r="F729" s="519">
        <f t="shared" si="65"/>
        <v>97729.545789473603</v>
      </c>
      <c r="G729" s="477">
        <f t="shared" si="66"/>
        <v>100235.43157894729</v>
      </c>
      <c r="H729" s="513">
        <f>+J706*G729+E729</f>
        <v>16146.797453199804</v>
      </c>
      <c r="I729" s="520">
        <f>+J707*G729+E729</f>
        <v>16146.797453199804</v>
      </c>
      <c r="J729" s="516">
        <f t="shared" si="67"/>
        <v>0</v>
      </c>
      <c r="K729" s="516"/>
      <c r="L729" s="521"/>
      <c r="M729" s="516">
        <f t="shared" si="68"/>
        <v>0</v>
      </c>
      <c r="N729" s="521"/>
      <c r="O729" s="516">
        <f t="shared" si="69"/>
        <v>0</v>
      </c>
      <c r="P729" s="516">
        <f t="shared" si="70"/>
        <v>0</v>
      </c>
      <c r="Q729" s="479"/>
    </row>
    <row r="730" spans="3:17">
      <c r="C730" s="512">
        <f>IF(D705="","-",+C729+1)</f>
        <v>2035</v>
      </c>
      <c r="D730" s="477">
        <f t="shared" si="71"/>
        <v>97729.545789473603</v>
      </c>
      <c r="E730" s="519">
        <f t="shared" si="72"/>
        <v>5011.7715789473687</v>
      </c>
      <c r="F730" s="519">
        <f t="shared" si="65"/>
        <v>92717.77421052623</v>
      </c>
      <c r="G730" s="477">
        <f t="shared" si="66"/>
        <v>95223.659999999916</v>
      </c>
      <c r="H730" s="513">
        <f>+J706*G730+E730</f>
        <v>15590.046159487181</v>
      </c>
      <c r="I730" s="520">
        <f>+J707*G730+E730</f>
        <v>15590.046159487181</v>
      </c>
      <c r="J730" s="516">
        <f t="shared" si="67"/>
        <v>0</v>
      </c>
      <c r="K730" s="516"/>
      <c r="L730" s="521"/>
      <c r="M730" s="516">
        <f t="shared" si="68"/>
        <v>0</v>
      </c>
      <c r="N730" s="521"/>
      <c r="O730" s="516">
        <f t="shared" si="69"/>
        <v>0</v>
      </c>
      <c r="P730" s="516">
        <f t="shared" si="70"/>
        <v>0</v>
      </c>
      <c r="Q730" s="479"/>
    </row>
    <row r="731" spans="3:17">
      <c r="C731" s="512">
        <f>IF(D705="","-",+C730+1)</f>
        <v>2036</v>
      </c>
      <c r="D731" s="477">
        <f t="shared" si="71"/>
        <v>92717.77421052623</v>
      </c>
      <c r="E731" s="519">
        <f t="shared" si="72"/>
        <v>5011.7715789473687</v>
      </c>
      <c r="F731" s="519">
        <f t="shared" si="65"/>
        <v>87706.002631578856</v>
      </c>
      <c r="G731" s="477">
        <f t="shared" si="66"/>
        <v>90211.888421052543</v>
      </c>
      <c r="H731" s="513">
        <f>+J706*G731+E731</f>
        <v>15033.294865774558</v>
      </c>
      <c r="I731" s="520">
        <f>+J707*G731+E731</f>
        <v>15033.294865774558</v>
      </c>
      <c r="J731" s="516">
        <f t="shared" si="67"/>
        <v>0</v>
      </c>
      <c r="K731" s="516"/>
      <c r="L731" s="521"/>
      <c r="M731" s="516">
        <f t="shared" si="68"/>
        <v>0</v>
      </c>
      <c r="N731" s="521"/>
      <c r="O731" s="516">
        <f t="shared" si="69"/>
        <v>0</v>
      </c>
      <c r="P731" s="516">
        <f t="shared" si="70"/>
        <v>0</v>
      </c>
      <c r="Q731" s="479"/>
    </row>
    <row r="732" spans="3:17">
      <c r="C732" s="512">
        <f>IF(D705="","-",+C731+1)</f>
        <v>2037</v>
      </c>
      <c r="D732" s="477">
        <f t="shared" si="71"/>
        <v>87706.002631578856</v>
      </c>
      <c r="E732" s="519">
        <f t="shared" si="72"/>
        <v>5011.7715789473687</v>
      </c>
      <c r="F732" s="519">
        <f t="shared" si="65"/>
        <v>82694.231052631483</v>
      </c>
      <c r="G732" s="477">
        <f t="shared" si="66"/>
        <v>85200.11684210517</v>
      </c>
      <c r="H732" s="513">
        <f>+J706*G732+E732</f>
        <v>14476.543572061935</v>
      </c>
      <c r="I732" s="520">
        <f>+J707*G732+E732</f>
        <v>14476.543572061935</v>
      </c>
      <c r="J732" s="516">
        <f t="shared" si="67"/>
        <v>0</v>
      </c>
      <c r="K732" s="516"/>
      <c r="L732" s="521"/>
      <c r="M732" s="516">
        <f t="shared" si="68"/>
        <v>0</v>
      </c>
      <c r="N732" s="521"/>
      <c r="O732" s="516">
        <f t="shared" si="69"/>
        <v>0</v>
      </c>
      <c r="P732" s="516">
        <f t="shared" si="70"/>
        <v>0</v>
      </c>
      <c r="Q732" s="479"/>
    </row>
    <row r="733" spans="3:17">
      <c r="C733" s="512">
        <f>IF(D705="","-",+C732+1)</f>
        <v>2038</v>
      </c>
      <c r="D733" s="477">
        <f t="shared" si="71"/>
        <v>82694.231052631483</v>
      </c>
      <c r="E733" s="519">
        <f t="shared" si="72"/>
        <v>5011.7715789473687</v>
      </c>
      <c r="F733" s="519">
        <f t="shared" si="65"/>
        <v>77682.45947368411</v>
      </c>
      <c r="G733" s="477">
        <f t="shared" si="66"/>
        <v>80188.345263157797</v>
      </c>
      <c r="H733" s="513">
        <f>+J706*G733+E733</f>
        <v>13919.792278349312</v>
      </c>
      <c r="I733" s="520">
        <f>+J707*G733+E733</f>
        <v>13919.792278349312</v>
      </c>
      <c r="J733" s="516">
        <f t="shared" si="67"/>
        <v>0</v>
      </c>
      <c r="K733" s="516"/>
      <c r="L733" s="521"/>
      <c r="M733" s="516">
        <f t="shared" si="68"/>
        <v>0</v>
      </c>
      <c r="N733" s="521"/>
      <c r="O733" s="516">
        <f t="shared" si="69"/>
        <v>0</v>
      </c>
      <c r="P733" s="516">
        <f t="shared" si="70"/>
        <v>0</v>
      </c>
      <c r="Q733" s="479"/>
    </row>
    <row r="734" spans="3:17">
      <c r="C734" s="512">
        <f>IF(D705="","-",+C733+1)</f>
        <v>2039</v>
      </c>
      <c r="D734" s="477">
        <f t="shared" si="71"/>
        <v>77682.45947368411</v>
      </c>
      <c r="E734" s="519">
        <f t="shared" si="72"/>
        <v>5011.7715789473687</v>
      </c>
      <c r="F734" s="519">
        <f t="shared" si="65"/>
        <v>72670.687894736737</v>
      </c>
      <c r="G734" s="477">
        <f t="shared" si="66"/>
        <v>75176.573684210423</v>
      </c>
      <c r="H734" s="513">
        <f>+J706*G734+E734</f>
        <v>13363.040984636689</v>
      </c>
      <c r="I734" s="520">
        <f>+J707*G734+E734</f>
        <v>13363.040984636689</v>
      </c>
      <c r="J734" s="516">
        <f t="shared" si="67"/>
        <v>0</v>
      </c>
      <c r="K734" s="516"/>
      <c r="L734" s="521"/>
      <c r="M734" s="516">
        <f t="shared" si="68"/>
        <v>0</v>
      </c>
      <c r="N734" s="521"/>
      <c r="O734" s="516">
        <f t="shared" si="69"/>
        <v>0</v>
      </c>
      <c r="P734" s="516">
        <f t="shared" si="70"/>
        <v>0</v>
      </c>
      <c r="Q734" s="479"/>
    </row>
    <row r="735" spans="3:17">
      <c r="C735" s="512">
        <f>IF(D705="","-",+C734+1)</f>
        <v>2040</v>
      </c>
      <c r="D735" s="477">
        <f t="shared" si="71"/>
        <v>72670.687894736737</v>
      </c>
      <c r="E735" s="519">
        <f t="shared" si="72"/>
        <v>5011.7715789473687</v>
      </c>
      <c r="F735" s="519">
        <f t="shared" si="65"/>
        <v>67658.916315789364</v>
      </c>
      <c r="G735" s="477">
        <f t="shared" si="66"/>
        <v>70164.80210526305</v>
      </c>
      <c r="H735" s="513">
        <f>+J706*G735+E735</f>
        <v>12806.289690924068</v>
      </c>
      <c r="I735" s="520">
        <f>+J707*G735+E735</f>
        <v>12806.289690924068</v>
      </c>
      <c r="J735" s="516">
        <f t="shared" si="67"/>
        <v>0</v>
      </c>
      <c r="K735" s="516"/>
      <c r="L735" s="521"/>
      <c r="M735" s="516">
        <f t="shared" si="68"/>
        <v>0</v>
      </c>
      <c r="N735" s="521"/>
      <c r="O735" s="516">
        <f t="shared" si="69"/>
        <v>0</v>
      </c>
      <c r="P735" s="516">
        <f t="shared" si="70"/>
        <v>0</v>
      </c>
      <c r="Q735" s="479"/>
    </row>
    <row r="736" spans="3:17">
      <c r="C736" s="512">
        <f>IF(D705="","-",+C735+1)</f>
        <v>2041</v>
      </c>
      <c r="D736" s="477">
        <f t="shared" si="71"/>
        <v>67658.916315789364</v>
      </c>
      <c r="E736" s="519">
        <f t="shared" si="72"/>
        <v>5011.7715789473687</v>
      </c>
      <c r="F736" s="519">
        <f t="shared" si="65"/>
        <v>62647.144736841998</v>
      </c>
      <c r="G736" s="477">
        <f t="shared" si="66"/>
        <v>65153.030526315677</v>
      </c>
      <c r="H736" s="513">
        <f>+J706*G736+E736</f>
        <v>12249.538397211445</v>
      </c>
      <c r="I736" s="520">
        <f>+J707*G736+E736</f>
        <v>12249.538397211445</v>
      </c>
      <c r="J736" s="516">
        <f t="shared" si="67"/>
        <v>0</v>
      </c>
      <c r="K736" s="516"/>
      <c r="L736" s="521"/>
      <c r="M736" s="516">
        <f t="shared" si="68"/>
        <v>0</v>
      </c>
      <c r="N736" s="521"/>
      <c r="O736" s="516">
        <f t="shared" si="69"/>
        <v>0</v>
      </c>
      <c r="P736" s="516">
        <f t="shared" si="70"/>
        <v>0</v>
      </c>
      <c r="Q736" s="479"/>
    </row>
    <row r="737" spans="3:17">
      <c r="C737" s="512">
        <f>IF(D705="","-",+C736+1)</f>
        <v>2042</v>
      </c>
      <c r="D737" s="477">
        <f t="shared" si="71"/>
        <v>62647.144736841998</v>
      </c>
      <c r="E737" s="519">
        <f t="shared" si="72"/>
        <v>5011.7715789473687</v>
      </c>
      <c r="F737" s="519">
        <f t="shared" si="65"/>
        <v>57635.373157894632</v>
      </c>
      <c r="G737" s="477">
        <f t="shared" si="66"/>
        <v>60141.258947368318</v>
      </c>
      <c r="H737" s="513">
        <f>+J706*G737+E737</f>
        <v>11692.787103498824</v>
      </c>
      <c r="I737" s="520">
        <f>+J707*G737+E737</f>
        <v>11692.787103498824</v>
      </c>
      <c r="J737" s="516">
        <f t="shared" si="67"/>
        <v>0</v>
      </c>
      <c r="K737" s="516"/>
      <c r="L737" s="521"/>
      <c r="M737" s="516">
        <f t="shared" si="68"/>
        <v>0</v>
      </c>
      <c r="N737" s="521"/>
      <c r="O737" s="516">
        <f t="shared" si="69"/>
        <v>0</v>
      </c>
      <c r="P737" s="516">
        <f t="shared" si="70"/>
        <v>0</v>
      </c>
      <c r="Q737" s="479"/>
    </row>
    <row r="738" spans="3:17">
      <c r="C738" s="512">
        <f>IF(D705="","-",+C737+1)</f>
        <v>2043</v>
      </c>
      <c r="D738" s="477">
        <f t="shared" si="71"/>
        <v>57635.373157894632</v>
      </c>
      <c r="E738" s="519">
        <f t="shared" si="72"/>
        <v>5011.7715789473687</v>
      </c>
      <c r="F738" s="519">
        <f t="shared" si="65"/>
        <v>52623.601578947266</v>
      </c>
      <c r="G738" s="477">
        <f t="shared" si="66"/>
        <v>55129.487368420945</v>
      </c>
      <c r="H738" s="513">
        <f>+J706*G738+E738</f>
        <v>11136.035809786201</v>
      </c>
      <c r="I738" s="520">
        <f>+J707*G738+E738</f>
        <v>11136.035809786201</v>
      </c>
      <c r="J738" s="516">
        <f t="shared" si="67"/>
        <v>0</v>
      </c>
      <c r="K738" s="516"/>
      <c r="L738" s="521"/>
      <c r="M738" s="516">
        <f t="shared" si="68"/>
        <v>0</v>
      </c>
      <c r="N738" s="521"/>
      <c r="O738" s="516">
        <f t="shared" si="69"/>
        <v>0</v>
      </c>
      <c r="P738" s="516">
        <f t="shared" si="70"/>
        <v>0</v>
      </c>
      <c r="Q738" s="479"/>
    </row>
    <row r="739" spans="3:17">
      <c r="C739" s="512">
        <f>IF(D705="","-",+C738+1)</f>
        <v>2044</v>
      </c>
      <c r="D739" s="477">
        <f t="shared" si="71"/>
        <v>52623.601578947266</v>
      </c>
      <c r="E739" s="519">
        <f t="shared" si="72"/>
        <v>5011.7715789473687</v>
      </c>
      <c r="F739" s="519">
        <f t="shared" si="65"/>
        <v>47611.8299999999</v>
      </c>
      <c r="G739" s="477">
        <f t="shared" si="66"/>
        <v>50117.715789473586</v>
      </c>
      <c r="H739" s="513">
        <f>+J706*G739+E739</f>
        <v>10579.28451607358</v>
      </c>
      <c r="I739" s="520">
        <f>+J707*G739+E739</f>
        <v>10579.28451607358</v>
      </c>
      <c r="J739" s="516">
        <f t="shared" si="67"/>
        <v>0</v>
      </c>
      <c r="K739" s="516"/>
      <c r="L739" s="521"/>
      <c r="M739" s="516">
        <f t="shared" si="68"/>
        <v>0</v>
      </c>
      <c r="N739" s="521"/>
      <c r="O739" s="516">
        <f t="shared" si="69"/>
        <v>0</v>
      </c>
      <c r="P739" s="516">
        <f t="shared" si="70"/>
        <v>0</v>
      </c>
      <c r="Q739" s="479"/>
    </row>
    <row r="740" spans="3:17">
      <c r="C740" s="512">
        <f>IF(D705="","-",+C739+1)</f>
        <v>2045</v>
      </c>
      <c r="D740" s="477">
        <f t="shared" si="71"/>
        <v>47611.8299999999</v>
      </c>
      <c r="E740" s="519">
        <f t="shared" si="72"/>
        <v>5011.7715789473687</v>
      </c>
      <c r="F740" s="519">
        <f t="shared" si="65"/>
        <v>42600.058421052534</v>
      </c>
      <c r="G740" s="477">
        <f t="shared" si="66"/>
        <v>45105.944210526213</v>
      </c>
      <c r="H740" s="513">
        <f>+J706*G740+E740</f>
        <v>10022.533222360958</v>
      </c>
      <c r="I740" s="520">
        <f>+J707*G740+E740</f>
        <v>10022.533222360958</v>
      </c>
      <c r="J740" s="516">
        <f t="shared" si="67"/>
        <v>0</v>
      </c>
      <c r="K740" s="516"/>
      <c r="L740" s="521"/>
      <c r="M740" s="516">
        <f t="shared" si="68"/>
        <v>0</v>
      </c>
      <c r="N740" s="521"/>
      <c r="O740" s="516">
        <f t="shared" si="69"/>
        <v>0</v>
      </c>
      <c r="P740" s="516">
        <f t="shared" si="70"/>
        <v>0</v>
      </c>
      <c r="Q740" s="479"/>
    </row>
    <row r="741" spans="3:17">
      <c r="C741" s="512">
        <f>IF(D705="","-",+C740+1)</f>
        <v>2046</v>
      </c>
      <c r="D741" s="477">
        <f t="shared" si="71"/>
        <v>42600.058421052534</v>
      </c>
      <c r="E741" s="519">
        <f t="shared" si="72"/>
        <v>5011.7715789473687</v>
      </c>
      <c r="F741" s="519">
        <f t="shared" si="65"/>
        <v>37588.286842105168</v>
      </c>
      <c r="G741" s="477">
        <f t="shared" si="66"/>
        <v>40094.172631578855</v>
      </c>
      <c r="H741" s="513">
        <f>+J706*G741+E741</f>
        <v>9465.7819286483355</v>
      </c>
      <c r="I741" s="520">
        <f>+J707*G741+E741</f>
        <v>9465.7819286483355</v>
      </c>
      <c r="J741" s="516">
        <f t="shared" si="67"/>
        <v>0</v>
      </c>
      <c r="K741" s="516"/>
      <c r="L741" s="521"/>
      <c r="M741" s="516">
        <f t="shared" si="68"/>
        <v>0</v>
      </c>
      <c r="N741" s="521"/>
      <c r="O741" s="516">
        <f t="shared" si="69"/>
        <v>0</v>
      </c>
      <c r="P741" s="516">
        <f t="shared" si="70"/>
        <v>0</v>
      </c>
      <c r="Q741" s="479"/>
    </row>
    <row r="742" spans="3:17">
      <c r="C742" s="512">
        <f>IF(D705="","-",+C741+1)</f>
        <v>2047</v>
      </c>
      <c r="D742" s="477">
        <f t="shared" si="71"/>
        <v>37588.286842105168</v>
      </c>
      <c r="E742" s="519">
        <f t="shared" si="72"/>
        <v>5011.7715789473687</v>
      </c>
      <c r="F742" s="519">
        <f t="shared" si="65"/>
        <v>32576.515263157798</v>
      </c>
      <c r="G742" s="477">
        <f t="shared" si="66"/>
        <v>35082.401052631481</v>
      </c>
      <c r="H742" s="513">
        <f>+J706*G742+E742</f>
        <v>8909.0306349357124</v>
      </c>
      <c r="I742" s="520">
        <f>+J707*G742+E742</f>
        <v>8909.0306349357124</v>
      </c>
      <c r="J742" s="516">
        <f t="shared" si="67"/>
        <v>0</v>
      </c>
      <c r="K742" s="516"/>
      <c r="L742" s="521"/>
      <c r="M742" s="516">
        <f t="shared" si="68"/>
        <v>0</v>
      </c>
      <c r="N742" s="521"/>
      <c r="O742" s="516">
        <f t="shared" si="69"/>
        <v>0</v>
      </c>
      <c r="P742" s="516">
        <f t="shared" si="70"/>
        <v>0</v>
      </c>
      <c r="Q742" s="479"/>
    </row>
    <row r="743" spans="3:17">
      <c r="C743" s="512">
        <f>IF(D705="","-",+C742+1)</f>
        <v>2048</v>
      </c>
      <c r="D743" s="477">
        <f t="shared" si="71"/>
        <v>32576.515263157798</v>
      </c>
      <c r="E743" s="519">
        <f t="shared" si="72"/>
        <v>5011.7715789473687</v>
      </c>
      <c r="F743" s="519">
        <f t="shared" si="65"/>
        <v>27564.743684210429</v>
      </c>
      <c r="G743" s="477">
        <f t="shared" si="66"/>
        <v>30070.629473684116</v>
      </c>
      <c r="H743" s="513">
        <f>+J706*G743+E743</f>
        <v>8352.2793412230913</v>
      </c>
      <c r="I743" s="520">
        <f>+J707*G743+E743</f>
        <v>8352.2793412230913</v>
      </c>
      <c r="J743" s="516">
        <f t="shared" si="67"/>
        <v>0</v>
      </c>
      <c r="K743" s="516"/>
      <c r="L743" s="521"/>
      <c r="M743" s="516">
        <f t="shared" si="68"/>
        <v>0</v>
      </c>
      <c r="N743" s="521"/>
      <c r="O743" s="516">
        <f t="shared" si="69"/>
        <v>0</v>
      </c>
      <c r="P743" s="516">
        <f t="shared" si="70"/>
        <v>0</v>
      </c>
      <c r="Q743" s="479"/>
    </row>
    <row r="744" spans="3:17">
      <c r="C744" s="512">
        <f>IF(D705="","-",+C743+1)</f>
        <v>2049</v>
      </c>
      <c r="D744" s="477">
        <f t="shared" si="71"/>
        <v>27564.743684210429</v>
      </c>
      <c r="E744" s="519">
        <f t="shared" si="72"/>
        <v>5011.7715789473687</v>
      </c>
      <c r="F744" s="519">
        <f t="shared" si="65"/>
        <v>22552.972105263059</v>
      </c>
      <c r="G744" s="477">
        <f t="shared" si="66"/>
        <v>25058.857894736742</v>
      </c>
      <c r="H744" s="513">
        <f>+J706*G744+E744</f>
        <v>7795.5280475104682</v>
      </c>
      <c r="I744" s="520">
        <f>+J707*G744+E744</f>
        <v>7795.5280475104682</v>
      </c>
      <c r="J744" s="516">
        <f t="shared" si="67"/>
        <v>0</v>
      </c>
      <c r="K744" s="516"/>
      <c r="L744" s="521"/>
      <c r="M744" s="516">
        <f t="shared" si="68"/>
        <v>0</v>
      </c>
      <c r="N744" s="521"/>
      <c r="O744" s="516">
        <f t="shared" si="69"/>
        <v>0</v>
      </c>
      <c r="P744" s="516">
        <f t="shared" si="70"/>
        <v>0</v>
      </c>
      <c r="Q744" s="479"/>
    </row>
    <row r="745" spans="3:17">
      <c r="C745" s="512">
        <f>IF(D705="","-",+C744+1)</f>
        <v>2050</v>
      </c>
      <c r="D745" s="477">
        <f t="shared" si="71"/>
        <v>22552.972105263059</v>
      </c>
      <c r="E745" s="519">
        <f t="shared" si="72"/>
        <v>5011.7715789473687</v>
      </c>
      <c r="F745" s="519">
        <f t="shared" si="65"/>
        <v>17541.20052631569</v>
      </c>
      <c r="G745" s="477">
        <f t="shared" si="66"/>
        <v>20047.086315789376</v>
      </c>
      <c r="H745" s="513">
        <f>+J706*G745+E745</f>
        <v>7238.7767537978471</v>
      </c>
      <c r="I745" s="520">
        <f>+J707*G745+E745</f>
        <v>7238.7767537978471</v>
      </c>
      <c r="J745" s="516">
        <f t="shared" si="67"/>
        <v>0</v>
      </c>
      <c r="K745" s="516"/>
      <c r="L745" s="521"/>
      <c r="M745" s="516">
        <f t="shared" si="68"/>
        <v>0</v>
      </c>
      <c r="N745" s="521"/>
      <c r="O745" s="516">
        <f t="shared" si="69"/>
        <v>0</v>
      </c>
      <c r="P745" s="516">
        <f t="shared" si="70"/>
        <v>0</v>
      </c>
      <c r="Q745" s="479"/>
    </row>
    <row r="746" spans="3:17">
      <c r="C746" s="512">
        <f>IF(D705="","-",+C745+1)</f>
        <v>2051</v>
      </c>
      <c r="D746" s="477">
        <f t="shared" si="71"/>
        <v>17541.20052631569</v>
      </c>
      <c r="E746" s="519">
        <f t="shared" si="72"/>
        <v>5011.7715789473687</v>
      </c>
      <c r="F746" s="519">
        <f t="shared" si="65"/>
        <v>12529.42894736832</v>
      </c>
      <c r="G746" s="477">
        <f t="shared" si="66"/>
        <v>15035.314736842005</v>
      </c>
      <c r="H746" s="513">
        <f>+J706*G746+E746</f>
        <v>6682.025460085224</v>
      </c>
      <c r="I746" s="520">
        <f>+J707*G746+E746</f>
        <v>6682.025460085224</v>
      </c>
      <c r="J746" s="516">
        <f t="shared" si="67"/>
        <v>0</v>
      </c>
      <c r="K746" s="516"/>
      <c r="L746" s="521"/>
      <c r="M746" s="516">
        <f t="shared" si="68"/>
        <v>0</v>
      </c>
      <c r="N746" s="521"/>
      <c r="O746" s="516">
        <f t="shared" si="69"/>
        <v>0</v>
      </c>
      <c r="P746" s="516">
        <f t="shared" si="70"/>
        <v>0</v>
      </c>
      <c r="Q746" s="479"/>
    </row>
    <row r="747" spans="3:17">
      <c r="C747" s="512">
        <f>IF(D705="","-",+C746+1)</f>
        <v>2052</v>
      </c>
      <c r="D747" s="477">
        <f t="shared" si="71"/>
        <v>12529.42894736832</v>
      </c>
      <c r="E747" s="519">
        <f t="shared" si="72"/>
        <v>5011.7715789473687</v>
      </c>
      <c r="F747" s="519">
        <f t="shared" si="65"/>
        <v>7517.6573684209516</v>
      </c>
      <c r="G747" s="477">
        <f t="shared" si="66"/>
        <v>10023.543157894635</v>
      </c>
      <c r="H747" s="513">
        <f>+J706*G747+E747</f>
        <v>6125.2741663726019</v>
      </c>
      <c r="I747" s="520">
        <f>+J707*G747+E747</f>
        <v>6125.2741663726019</v>
      </c>
      <c r="J747" s="516">
        <f t="shared" si="67"/>
        <v>0</v>
      </c>
      <c r="K747" s="516"/>
      <c r="L747" s="521"/>
      <c r="M747" s="516">
        <f t="shared" si="68"/>
        <v>0</v>
      </c>
      <c r="N747" s="521"/>
      <c r="O747" s="516">
        <f t="shared" si="69"/>
        <v>0</v>
      </c>
      <c r="P747" s="516">
        <f t="shared" si="70"/>
        <v>0</v>
      </c>
      <c r="Q747" s="479"/>
    </row>
    <row r="748" spans="3:17">
      <c r="C748" s="512">
        <f>IF(D705="","-",+C747+1)</f>
        <v>2053</v>
      </c>
      <c r="D748" s="477">
        <f t="shared" si="71"/>
        <v>7517.6573684209516</v>
      </c>
      <c r="E748" s="519">
        <f t="shared" si="72"/>
        <v>5011.7715789473687</v>
      </c>
      <c r="F748" s="519">
        <f t="shared" si="65"/>
        <v>2505.8857894735829</v>
      </c>
      <c r="G748" s="477">
        <f t="shared" si="66"/>
        <v>5011.7715789472677</v>
      </c>
      <c r="H748" s="513">
        <f>+J706*G748+E748</f>
        <v>5568.5228726599798</v>
      </c>
      <c r="I748" s="520">
        <f>+J707*G748+E748</f>
        <v>5568.5228726599798</v>
      </c>
      <c r="J748" s="516">
        <f t="shared" si="67"/>
        <v>0</v>
      </c>
      <c r="K748" s="516"/>
      <c r="L748" s="521"/>
      <c r="M748" s="516">
        <f t="shared" si="68"/>
        <v>0</v>
      </c>
      <c r="N748" s="521"/>
      <c r="O748" s="516">
        <f t="shared" si="69"/>
        <v>0</v>
      </c>
      <c r="P748" s="516">
        <f t="shared" si="70"/>
        <v>0</v>
      </c>
      <c r="Q748" s="479"/>
    </row>
    <row r="749" spans="3:17">
      <c r="C749" s="512">
        <f>IF(D705="","-",+C748+1)</f>
        <v>2054</v>
      </c>
      <c r="D749" s="477">
        <f t="shared" si="71"/>
        <v>2505.8857894735829</v>
      </c>
      <c r="E749" s="519">
        <f t="shared" si="72"/>
        <v>2505.8857894735829</v>
      </c>
      <c r="F749" s="519">
        <f t="shared" si="65"/>
        <v>0</v>
      </c>
      <c r="G749" s="477">
        <f t="shared" si="66"/>
        <v>1252.9428947367915</v>
      </c>
      <c r="H749" s="513">
        <f>+J706*G749+E749</f>
        <v>2645.0736129017328</v>
      </c>
      <c r="I749" s="520">
        <f>+J707*G749+E749</f>
        <v>2645.0736129017328</v>
      </c>
      <c r="J749" s="516">
        <f t="shared" si="67"/>
        <v>0</v>
      </c>
      <c r="K749" s="516"/>
      <c r="L749" s="521"/>
      <c r="M749" s="516">
        <f t="shared" si="68"/>
        <v>0</v>
      </c>
      <c r="N749" s="521"/>
      <c r="O749" s="516">
        <f t="shared" si="69"/>
        <v>0</v>
      </c>
      <c r="P749" s="516">
        <f t="shared" si="70"/>
        <v>0</v>
      </c>
      <c r="Q749" s="479"/>
    </row>
    <row r="750" spans="3:17">
      <c r="C750" s="512">
        <f>IF(D705="","-",+C749+1)</f>
        <v>2055</v>
      </c>
      <c r="D750" s="477">
        <f t="shared" si="71"/>
        <v>0</v>
      </c>
      <c r="E750" s="519">
        <f t="shared" si="72"/>
        <v>0</v>
      </c>
      <c r="F750" s="519">
        <f t="shared" si="65"/>
        <v>0</v>
      </c>
      <c r="G750" s="477">
        <f t="shared" si="66"/>
        <v>0</v>
      </c>
      <c r="H750" s="513">
        <f>+J706*G750+E750</f>
        <v>0</v>
      </c>
      <c r="I750" s="520">
        <f>+J707*G750+E750</f>
        <v>0</v>
      </c>
      <c r="J750" s="516">
        <f t="shared" si="67"/>
        <v>0</v>
      </c>
      <c r="K750" s="516"/>
      <c r="L750" s="521"/>
      <c r="M750" s="516">
        <f t="shared" si="68"/>
        <v>0</v>
      </c>
      <c r="N750" s="521"/>
      <c r="O750" s="516">
        <f t="shared" si="69"/>
        <v>0</v>
      </c>
      <c r="P750" s="516">
        <f t="shared" si="70"/>
        <v>0</v>
      </c>
      <c r="Q750" s="479"/>
    </row>
    <row r="751" spans="3:17">
      <c r="C751" s="512">
        <f>IF(D705="","-",+C750+1)</f>
        <v>2056</v>
      </c>
      <c r="D751" s="477">
        <f t="shared" si="71"/>
        <v>0</v>
      </c>
      <c r="E751" s="519">
        <f t="shared" si="72"/>
        <v>0</v>
      </c>
      <c r="F751" s="519">
        <f t="shared" si="65"/>
        <v>0</v>
      </c>
      <c r="G751" s="477">
        <f t="shared" si="66"/>
        <v>0</v>
      </c>
      <c r="H751" s="513">
        <f>+J706*G751+E751</f>
        <v>0</v>
      </c>
      <c r="I751" s="520">
        <f>+J707*G751+E751</f>
        <v>0</v>
      </c>
      <c r="J751" s="516">
        <f t="shared" si="67"/>
        <v>0</v>
      </c>
      <c r="K751" s="516"/>
      <c r="L751" s="521"/>
      <c r="M751" s="516">
        <f t="shared" si="68"/>
        <v>0</v>
      </c>
      <c r="N751" s="521"/>
      <c r="O751" s="516">
        <f t="shared" si="69"/>
        <v>0</v>
      </c>
      <c r="P751" s="516">
        <f t="shared" si="70"/>
        <v>0</v>
      </c>
      <c r="Q751" s="479"/>
    </row>
    <row r="752" spans="3:17">
      <c r="C752" s="512">
        <f>IF(D705="","-",+C751+1)</f>
        <v>2057</v>
      </c>
      <c r="D752" s="477">
        <f t="shared" si="71"/>
        <v>0</v>
      </c>
      <c r="E752" s="519">
        <f t="shared" si="72"/>
        <v>0</v>
      </c>
      <c r="F752" s="519">
        <f t="shared" si="65"/>
        <v>0</v>
      </c>
      <c r="G752" s="477">
        <f t="shared" si="66"/>
        <v>0</v>
      </c>
      <c r="H752" s="513">
        <f>+J706*G752+E752</f>
        <v>0</v>
      </c>
      <c r="I752" s="520">
        <f>+J707*G752+E752</f>
        <v>0</v>
      </c>
      <c r="J752" s="516">
        <f t="shared" si="67"/>
        <v>0</v>
      </c>
      <c r="K752" s="516"/>
      <c r="L752" s="521"/>
      <c r="M752" s="516">
        <f t="shared" si="68"/>
        <v>0</v>
      </c>
      <c r="N752" s="521"/>
      <c r="O752" s="516">
        <f t="shared" si="69"/>
        <v>0</v>
      </c>
      <c r="P752" s="516">
        <f t="shared" si="70"/>
        <v>0</v>
      </c>
      <c r="Q752" s="479"/>
    </row>
    <row r="753" spans="3:17">
      <c r="C753" s="512">
        <f>IF(D705="","-",+C752+1)</f>
        <v>2058</v>
      </c>
      <c r="D753" s="477">
        <f t="shared" si="71"/>
        <v>0</v>
      </c>
      <c r="E753" s="519">
        <f t="shared" si="72"/>
        <v>0</v>
      </c>
      <c r="F753" s="519">
        <f t="shared" si="65"/>
        <v>0</v>
      </c>
      <c r="G753" s="477">
        <f t="shared" si="66"/>
        <v>0</v>
      </c>
      <c r="H753" s="513">
        <f>+J706*G753+E753</f>
        <v>0</v>
      </c>
      <c r="I753" s="520">
        <f>+J707*G753+E753</f>
        <v>0</v>
      </c>
      <c r="J753" s="516">
        <f t="shared" si="67"/>
        <v>0</v>
      </c>
      <c r="K753" s="516"/>
      <c r="L753" s="521"/>
      <c r="M753" s="516">
        <f t="shared" si="68"/>
        <v>0</v>
      </c>
      <c r="N753" s="521"/>
      <c r="O753" s="516">
        <f t="shared" si="69"/>
        <v>0</v>
      </c>
      <c r="P753" s="516">
        <f t="shared" si="70"/>
        <v>0</v>
      </c>
      <c r="Q753" s="479"/>
    </row>
    <row r="754" spans="3:17">
      <c r="C754" s="512">
        <f>IF(D705="","-",+C753+1)</f>
        <v>2059</v>
      </c>
      <c r="D754" s="477">
        <f t="shared" si="71"/>
        <v>0</v>
      </c>
      <c r="E754" s="519">
        <f t="shared" si="72"/>
        <v>0</v>
      </c>
      <c r="F754" s="519">
        <f t="shared" si="65"/>
        <v>0</v>
      </c>
      <c r="G754" s="477">
        <f t="shared" si="66"/>
        <v>0</v>
      </c>
      <c r="H754" s="513">
        <f>+J706*G754+E754</f>
        <v>0</v>
      </c>
      <c r="I754" s="520">
        <f>+J707*G754+E754</f>
        <v>0</v>
      </c>
      <c r="J754" s="516">
        <f t="shared" si="67"/>
        <v>0</v>
      </c>
      <c r="K754" s="516"/>
      <c r="L754" s="521"/>
      <c r="M754" s="516">
        <f t="shared" si="68"/>
        <v>0</v>
      </c>
      <c r="N754" s="521"/>
      <c r="O754" s="516">
        <f t="shared" si="69"/>
        <v>0</v>
      </c>
      <c r="P754" s="516">
        <f t="shared" si="70"/>
        <v>0</v>
      </c>
      <c r="Q754" s="479"/>
    </row>
    <row r="755" spans="3:17">
      <c r="C755" s="512">
        <f>IF(D705="","-",+C754+1)</f>
        <v>2060</v>
      </c>
      <c r="D755" s="477">
        <f t="shared" si="71"/>
        <v>0</v>
      </c>
      <c r="E755" s="519">
        <f t="shared" si="72"/>
        <v>0</v>
      </c>
      <c r="F755" s="519">
        <f t="shared" si="65"/>
        <v>0</v>
      </c>
      <c r="G755" s="477">
        <f t="shared" si="66"/>
        <v>0</v>
      </c>
      <c r="H755" s="513">
        <f>+J706*G755+E755</f>
        <v>0</v>
      </c>
      <c r="I755" s="520">
        <f>+J707*G755+E755</f>
        <v>0</v>
      </c>
      <c r="J755" s="516">
        <f t="shared" si="67"/>
        <v>0</v>
      </c>
      <c r="K755" s="516"/>
      <c r="L755" s="521"/>
      <c r="M755" s="516">
        <f t="shared" si="68"/>
        <v>0</v>
      </c>
      <c r="N755" s="521"/>
      <c r="O755" s="516">
        <f t="shared" si="69"/>
        <v>0</v>
      </c>
      <c r="P755" s="516">
        <f t="shared" si="70"/>
        <v>0</v>
      </c>
      <c r="Q755" s="479"/>
    </row>
    <row r="756" spans="3:17">
      <c r="C756" s="512">
        <f>IF(D705="","-",+C755+1)</f>
        <v>2061</v>
      </c>
      <c r="D756" s="477">
        <f t="shared" si="71"/>
        <v>0</v>
      </c>
      <c r="E756" s="519">
        <f t="shared" si="72"/>
        <v>0</v>
      </c>
      <c r="F756" s="519">
        <f t="shared" si="65"/>
        <v>0</v>
      </c>
      <c r="G756" s="477">
        <f t="shared" si="66"/>
        <v>0</v>
      </c>
      <c r="H756" s="513">
        <f>+J706*G756+E756</f>
        <v>0</v>
      </c>
      <c r="I756" s="520">
        <f>+J707*G756+E756</f>
        <v>0</v>
      </c>
      <c r="J756" s="516">
        <f t="shared" si="67"/>
        <v>0</v>
      </c>
      <c r="K756" s="516"/>
      <c r="L756" s="521"/>
      <c r="M756" s="516">
        <f t="shared" si="68"/>
        <v>0</v>
      </c>
      <c r="N756" s="521"/>
      <c r="O756" s="516">
        <f t="shared" si="69"/>
        <v>0</v>
      </c>
      <c r="P756" s="516">
        <f t="shared" si="70"/>
        <v>0</v>
      </c>
      <c r="Q756" s="479"/>
    </row>
    <row r="757" spans="3:17">
      <c r="C757" s="512">
        <f>IF(D705="","-",+C756+1)</f>
        <v>2062</v>
      </c>
      <c r="D757" s="477">
        <f t="shared" si="71"/>
        <v>0</v>
      </c>
      <c r="E757" s="519">
        <f t="shared" si="72"/>
        <v>0</v>
      </c>
      <c r="F757" s="519">
        <f t="shared" si="65"/>
        <v>0</v>
      </c>
      <c r="G757" s="477">
        <f t="shared" si="66"/>
        <v>0</v>
      </c>
      <c r="H757" s="513">
        <f>+J706*G757+E757</f>
        <v>0</v>
      </c>
      <c r="I757" s="520">
        <f>+J707*G757+E757</f>
        <v>0</v>
      </c>
      <c r="J757" s="516">
        <f t="shared" si="67"/>
        <v>0</v>
      </c>
      <c r="K757" s="516"/>
      <c r="L757" s="521"/>
      <c r="M757" s="516">
        <f t="shared" si="68"/>
        <v>0</v>
      </c>
      <c r="N757" s="521"/>
      <c r="O757" s="516">
        <f t="shared" si="69"/>
        <v>0</v>
      </c>
      <c r="P757" s="516">
        <f t="shared" si="70"/>
        <v>0</v>
      </c>
      <c r="Q757" s="479"/>
    </row>
    <row r="758" spans="3:17">
      <c r="C758" s="512">
        <f>IF(D705="","-",+C757+1)</f>
        <v>2063</v>
      </c>
      <c r="D758" s="477">
        <f t="shared" si="71"/>
        <v>0</v>
      </c>
      <c r="E758" s="519">
        <f t="shared" si="72"/>
        <v>0</v>
      </c>
      <c r="F758" s="519">
        <f t="shared" si="65"/>
        <v>0</v>
      </c>
      <c r="G758" s="477">
        <f t="shared" si="66"/>
        <v>0</v>
      </c>
      <c r="H758" s="513">
        <f>+J706*G758+E758</f>
        <v>0</v>
      </c>
      <c r="I758" s="520">
        <f>+J707*G758+E758</f>
        <v>0</v>
      </c>
      <c r="J758" s="516">
        <f t="shared" si="67"/>
        <v>0</v>
      </c>
      <c r="K758" s="516"/>
      <c r="L758" s="521"/>
      <c r="M758" s="516">
        <f t="shared" si="68"/>
        <v>0</v>
      </c>
      <c r="N758" s="521"/>
      <c r="O758" s="516">
        <f t="shared" si="69"/>
        <v>0</v>
      </c>
      <c r="P758" s="516">
        <f t="shared" si="70"/>
        <v>0</v>
      </c>
      <c r="Q758" s="479"/>
    </row>
    <row r="759" spans="3:17">
      <c r="C759" s="512">
        <f>IF(D705="","-",+C758+1)</f>
        <v>2064</v>
      </c>
      <c r="D759" s="477">
        <f t="shared" si="71"/>
        <v>0</v>
      </c>
      <c r="E759" s="519">
        <f t="shared" si="72"/>
        <v>0</v>
      </c>
      <c r="F759" s="519">
        <f t="shared" si="65"/>
        <v>0</v>
      </c>
      <c r="G759" s="477">
        <f t="shared" si="66"/>
        <v>0</v>
      </c>
      <c r="H759" s="513">
        <f>+J706*G759+E759</f>
        <v>0</v>
      </c>
      <c r="I759" s="520">
        <f>+J707*G759+E759</f>
        <v>0</v>
      </c>
      <c r="J759" s="516">
        <f t="shared" si="67"/>
        <v>0</v>
      </c>
      <c r="K759" s="516"/>
      <c r="L759" s="521"/>
      <c r="M759" s="516">
        <f t="shared" si="68"/>
        <v>0</v>
      </c>
      <c r="N759" s="521"/>
      <c r="O759" s="516">
        <f t="shared" si="69"/>
        <v>0</v>
      </c>
      <c r="P759" s="516">
        <f t="shared" si="70"/>
        <v>0</v>
      </c>
      <c r="Q759" s="479"/>
    </row>
    <row r="760" spans="3:17">
      <c r="C760" s="512">
        <f>IF(D705="","-",+C759+1)</f>
        <v>2065</v>
      </c>
      <c r="D760" s="477">
        <f t="shared" si="71"/>
        <v>0</v>
      </c>
      <c r="E760" s="519">
        <f t="shared" si="72"/>
        <v>0</v>
      </c>
      <c r="F760" s="519">
        <f t="shared" si="65"/>
        <v>0</v>
      </c>
      <c r="G760" s="477">
        <f t="shared" si="66"/>
        <v>0</v>
      </c>
      <c r="H760" s="513">
        <f>+J706*G760+E760</f>
        <v>0</v>
      </c>
      <c r="I760" s="520">
        <f>+J707*G760+E760</f>
        <v>0</v>
      </c>
      <c r="J760" s="516">
        <f t="shared" si="67"/>
        <v>0</v>
      </c>
      <c r="K760" s="516"/>
      <c r="L760" s="521"/>
      <c r="M760" s="516">
        <f t="shared" si="68"/>
        <v>0</v>
      </c>
      <c r="N760" s="521"/>
      <c r="O760" s="516">
        <f t="shared" si="69"/>
        <v>0</v>
      </c>
      <c r="P760" s="516">
        <f t="shared" si="70"/>
        <v>0</v>
      </c>
      <c r="Q760" s="479"/>
    </row>
    <row r="761" spans="3:17">
      <c r="C761" s="512">
        <f>IF(D705="","-",+C760+1)</f>
        <v>2066</v>
      </c>
      <c r="D761" s="477">
        <f t="shared" si="71"/>
        <v>0</v>
      </c>
      <c r="E761" s="519">
        <f t="shared" si="72"/>
        <v>0</v>
      </c>
      <c r="F761" s="519">
        <f t="shared" si="65"/>
        <v>0</v>
      </c>
      <c r="G761" s="477">
        <f t="shared" si="66"/>
        <v>0</v>
      </c>
      <c r="H761" s="513">
        <f>+J706*G761+E761</f>
        <v>0</v>
      </c>
      <c r="I761" s="520">
        <f>+J707*G761+E761</f>
        <v>0</v>
      </c>
      <c r="J761" s="516">
        <f t="shared" si="67"/>
        <v>0</v>
      </c>
      <c r="K761" s="516"/>
      <c r="L761" s="521"/>
      <c r="M761" s="516">
        <f t="shared" si="68"/>
        <v>0</v>
      </c>
      <c r="N761" s="521"/>
      <c r="O761" s="516">
        <f t="shared" si="69"/>
        <v>0</v>
      </c>
      <c r="P761" s="516">
        <f t="shared" si="70"/>
        <v>0</v>
      </c>
      <c r="Q761" s="479"/>
    </row>
    <row r="762" spans="3:17">
      <c r="C762" s="512">
        <f>IF(D705="","-",+C761+1)</f>
        <v>2067</v>
      </c>
      <c r="D762" s="477">
        <f t="shared" si="71"/>
        <v>0</v>
      </c>
      <c r="E762" s="519">
        <f t="shared" si="72"/>
        <v>0</v>
      </c>
      <c r="F762" s="519">
        <f t="shared" si="65"/>
        <v>0</v>
      </c>
      <c r="G762" s="477">
        <f t="shared" si="66"/>
        <v>0</v>
      </c>
      <c r="H762" s="513">
        <f>+J706*G762+E762</f>
        <v>0</v>
      </c>
      <c r="I762" s="520">
        <f>+J707*G762+E762</f>
        <v>0</v>
      </c>
      <c r="J762" s="516">
        <f t="shared" si="67"/>
        <v>0</v>
      </c>
      <c r="K762" s="516"/>
      <c r="L762" s="521"/>
      <c r="M762" s="516">
        <f t="shared" si="68"/>
        <v>0</v>
      </c>
      <c r="N762" s="521"/>
      <c r="O762" s="516">
        <f t="shared" si="69"/>
        <v>0</v>
      </c>
      <c r="P762" s="516">
        <f t="shared" si="70"/>
        <v>0</v>
      </c>
      <c r="Q762" s="479"/>
    </row>
    <row r="763" spans="3:17">
      <c r="C763" s="512">
        <f>IF(D705="","-",+C762+1)</f>
        <v>2068</v>
      </c>
      <c r="D763" s="477">
        <f t="shared" si="71"/>
        <v>0</v>
      </c>
      <c r="E763" s="519">
        <f t="shared" si="72"/>
        <v>0</v>
      </c>
      <c r="F763" s="519">
        <f t="shared" si="65"/>
        <v>0</v>
      </c>
      <c r="G763" s="477">
        <f t="shared" si="66"/>
        <v>0</v>
      </c>
      <c r="H763" s="513">
        <f>+J706*G763+E763</f>
        <v>0</v>
      </c>
      <c r="I763" s="520">
        <f>+J707*G763+E763</f>
        <v>0</v>
      </c>
      <c r="J763" s="516">
        <f t="shared" si="67"/>
        <v>0</v>
      </c>
      <c r="K763" s="516"/>
      <c r="L763" s="521"/>
      <c r="M763" s="516">
        <f t="shared" si="68"/>
        <v>0</v>
      </c>
      <c r="N763" s="521"/>
      <c r="O763" s="516">
        <f t="shared" si="69"/>
        <v>0</v>
      </c>
      <c r="P763" s="516">
        <f t="shared" si="70"/>
        <v>0</v>
      </c>
      <c r="Q763" s="479"/>
    </row>
    <row r="764" spans="3:17">
      <c r="C764" s="512">
        <f>IF(D705="","-",+C763+1)</f>
        <v>2069</v>
      </c>
      <c r="D764" s="477">
        <f t="shared" si="71"/>
        <v>0</v>
      </c>
      <c r="E764" s="519">
        <f t="shared" si="72"/>
        <v>0</v>
      </c>
      <c r="F764" s="519">
        <f t="shared" si="65"/>
        <v>0</v>
      </c>
      <c r="G764" s="477">
        <f t="shared" si="66"/>
        <v>0</v>
      </c>
      <c r="H764" s="513">
        <f>+J706*G764+E764</f>
        <v>0</v>
      </c>
      <c r="I764" s="520">
        <f>+J707*G764+E764</f>
        <v>0</v>
      </c>
      <c r="J764" s="516">
        <f t="shared" si="67"/>
        <v>0</v>
      </c>
      <c r="K764" s="516"/>
      <c r="L764" s="521"/>
      <c r="M764" s="516">
        <f t="shared" si="68"/>
        <v>0</v>
      </c>
      <c r="N764" s="521"/>
      <c r="O764" s="516">
        <f t="shared" si="69"/>
        <v>0</v>
      </c>
      <c r="P764" s="516">
        <f t="shared" si="70"/>
        <v>0</v>
      </c>
      <c r="Q764" s="479"/>
    </row>
    <row r="765" spans="3:17">
      <c r="C765" s="512">
        <f>IF(D705="","-",+C764+1)</f>
        <v>2070</v>
      </c>
      <c r="D765" s="477">
        <f t="shared" si="71"/>
        <v>0</v>
      </c>
      <c r="E765" s="519">
        <f t="shared" si="72"/>
        <v>0</v>
      </c>
      <c r="F765" s="519">
        <f t="shared" si="65"/>
        <v>0</v>
      </c>
      <c r="G765" s="477">
        <f t="shared" si="66"/>
        <v>0</v>
      </c>
      <c r="H765" s="513">
        <f>+J706*G765+E765</f>
        <v>0</v>
      </c>
      <c r="I765" s="520">
        <f>+J707*G765+E765</f>
        <v>0</v>
      </c>
      <c r="J765" s="516">
        <f t="shared" si="67"/>
        <v>0</v>
      </c>
      <c r="K765" s="516"/>
      <c r="L765" s="521"/>
      <c r="M765" s="516">
        <f t="shared" si="68"/>
        <v>0</v>
      </c>
      <c r="N765" s="521"/>
      <c r="O765" s="516">
        <f t="shared" si="69"/>
        <v>0</v>
      </c>
      <c r="P765" s="516">
        <f t="shared" si="70"/>
        <v>0</v>
      </c>
      <c r="Q765" s="479"/>
    </row>
    <row r="766" spans="3:17">
      <c r="C766" s="512">
        <f>IF(D705="","-",+C765+1)</f>
        <v>2071</v>
      </c>
      <c r="D766" s="477">
        <f t="shared" si="71"/>
        <v>0</v>
      </c>
      <c r="E766" s="519">
        <f t="shared" si="72"/>
        <v>0</v>
      </c>
      <c r="F766" s="519">
        <f t="shared" si="65"/>
        <v>0</v>
      </c>
      <c r="G766" s="477">
        <f t="shared" si="66"/>
        <v>0</v>
      </c>
      <c r="H766" s="513">
        <f>+J706*G766+E766</f>
        <v>0</v>
      </c>
      <c r="I766" s="520">
        <f>+J707*G766+E766</f>
        <v>0</v>
      </c>
      <c r="J766" s="516">
        <f t="shared" si="67"/>
        <v>0</v>
      </c>
      <c r="K766" s="516"/>
      <c r="L766" s="521"/>
      <c r="M766" s="516">
        <f t="shared" si="68"/>
        <v>0</v>
      </c>
      <c r="N766" s="521"/>
      <c r="O766" s="516">
        <f t="shared" si="69"/>
        <v>0</v>
      </c>
      <c r="P766" s="516">
        <f t="shared" si="70"/>
        <v>0</v>
      </c>
      <c r="Q766" s="479"/>
    </row>
    <row r="767" spans="3:17">
      <c r="C767" s="512">
        <f>IF(D705="","-",+C766+1)</f>
        <v>2072</v>
      </c>
      <c r="D767" s="477">
        <f t="shared" si="71"/>
        <v>0</v>
      </c>
      <c r="E767" s="519">
        <f t="shared" si="72"/>
        <v>0</v>
      </c>
      <c r="F767" s="519">
        <f t="shared" si="65"/>
        <v>0</v>
      </c>
      <c r="G767" s="477">
        <f t="shared" si="66"/>
        <v>0</v>
      </c>
      <c r="H767" s="513">
        <f>+J706*G767+E767</f>
        <v>0</v>
      </c>
      <c r="I767" s="520">
        <f>+J707*G767+E767</f>
        <v>0</v>
      </c>
      <c r="J767" s="516">
        <f t="shared" si="67"/>
        <v>0</v>
      </c>
      <c r="K767" s="516"/>
      <c r="L767" s="521"/>
      <c r="M767" s="516">
        <f t="shared" si="68"/>
        <v>0</v>
      </c>
      <c r="N767" s="521"/>
      <c r="O767" s="516">
        <f t="shared" si="69"/>
        <v>0</v>
      </c>
      <c r="P767" s="516">
        <f t="shared" si="70"/>
        <v>0</v>
      </c>
      <c r="Q767" s="479"/>
    </row>
    <row r="768" spans="3:17">
      <c r="C768" s="512">
        <f>IF(D705="","-",+C767+1)</f>
        <v>2073</v>
      </c>
      <c r="D768" s="477">
        <f t="shared" si="71"/>
        <v>0</v>
      </c>
      <c r="E768" s="519">
        <f t="shared" si="72"/>
        <v>0</v>
      </c>
      <c r="F768" s="519">
        <f t="shared" si="65"/>
        <v>0</v>
      </c>
      <c r="G768" s="477">
        <f t="shared" si="66"/>
        <v>0</v>
      </c>
      <c r="H768" s="513">
        <f>+J706*G768+E768</f>
        <v>0</v>
      </c>
      <c r="I768" s="520">
        <f>+J707*G768+E768</f>
        <v>0</v>
      </c>
      <c r="J768" s="516">
        <f t="shared" si="67"/>
        <v>0</v>
      </c>
      <c r="K768" s="516"/>
      <c r="L768" s="521"/>
      <c r="M768" s="516">
        <f t="shared" si="68"/>
        <v>0</v>
      </c>
      <c r="N768" s="521"/>
      <c r="O768" s="516">
        <f t="shared" si="69"/>
        <v>0</v>
      </c>
      <c r="P768" s="516">
        <f t="shared" si="70"/>
        <v>0</v>
      </c>
      <c r="Q768" s="479"/>
    </row>
    <row r="769" spans="1:17">
      <c r="C769" s="512">
        <f>IF(D705="","-",+C768+1)</f>
        <v>2074</v>
      </c>
      <c r="D769" s="477">
        <f t="shared" si="71"/>
        <v>0</v>
      </c>
      <c r="E769" s="519">
        <f t="shared" si="72"/>
        <v>0</v>
      </c>
      <c r="F769" s="519">
        <f t="shared" si="65"/>
        <v>0</v>
      </c>
      <c r="G769" s="477">
        <f t="shared" si="66"/>
        <v>0</v>
      </c>
      <c r="H769" s="513">
        <f>+J706*G769+E769</f>
        <v>0</v>
      </c>
      <c r="I769" s="520">
        <f>+J707*G769+E769</f>
        <v>0</v>
      </c>
      <c r="J769" s="516">
        <f t="shared" si="67"/>
        <v>0</v>
      </c>
      <c r="K769" s="516"/>
      <c r="L769" s="521"/>
      <c r="M769" s="516">
        <f t="shared" si="68"/>
        <v>0</v>
      </c>
      <c r="N769" s="521"/>
      <c r="O769" s="516">
        <f t="shared" si="69"/>
        <v>0</v>
      </c>
      <c r="P769" s="516">
        <f t="shared" si="70"/>
        <v>0</v>
      </c>
      <c r="Q769" s="479"/>
    </row>
    <row r="770" spans="1:17" ht="13.5" thickBot="1">
      <c r="C770" s="523">
        <f>IF(D705="","-",+C769+1)</f>
        <v>2075</v>
      </c>
      <c r="D770" s="524">
        <f t="shared" si="71"/>
        <v>0</v>
      </c>
      <c r="E770" s="974">
        <f t="shared" si="72"/>
        <v>0</v>
      </c>
      <c r="F770" s="525">
        <f t="shared" si="65"/>
        <v>0</v>
      </c>
      <c r="G770" s="524">
        <f t="shared" si="66"/>
        <v>0</v>
      </c>
      <c r="H770" s="526">
        <f>+J706*G770+E770</f>
        <v>0</v>
      </c>
      <c r="I770" s="526">
        <f>+J707*G770+E770</f>
        <v>0</v>
      </c>
      <c r="J770" s="527">
        <f t="shared" si="67"/>
        <v>0</v>
      </c>
      <c r="K770" s="516"/>
      <c r="L770" s="528"/>
      <c r="M770" s="527">
        <f t="shared" si="68"/>
        <v>0</v>
      </c>
      <c r="N770" s="528"/>
      <c r="O770" s="527">
        <f t="shared" si="69"/>
        <v>0</v>
      </c>
      <c r="P770" s="527">
        <f t="shared" si="70"/>
        <v>0</v>
      </c>
      <c r="Q770" s="479"/>
    </row>
    <row r="771" spans="1:17">
      <c r="C771" s="477" t="s">
        <v>289</v>
      </c>
      <c r="D771" s="475"/>
      <c r="E771" s="475">
        <f>SUM(E711:E770)</f>
        <v>190447.31999999998</v>
      </c>
      <c r="F771" s="475"/>
      <c r="G771" s="475"/>
      <c r="H771" s="475">
        <f>SUM(H711:H770)</f>
        <v>603000.02864105266</v>
      </c>
      <c r="I771" s="475">
        <f>SUM(I711:I770)</f>
        <v>603000.02864105266</v>
      </c>
      <c r="J771" s="475">
        <f>SUM(J711:J770)</f>
        <v>0</v>
      </c>
      <c r="K771" s="475"/>
      <c r="L771" s="475"/>
      <c r="M771" s="475"/>
      <c r="N771" s="475"/>
      <c r="O771" s="475"/>
      <c r="Q771" s="475"/>
    </row>
    <row r="772" spans="1:17">
      <c r="D772" s="82"/>
      <c r="E772" s="4"/>
      <c r="F772" s="4"/>
      <c r="G772" s="4"/>
      <c r="H772" s="4"/>
      <c r="I772" s="460"/>
      <c r="J772" s="460"/>
      <c r="K772" s="475"/>
      <c r="L772" s="460"/>
      <c r="M772" s="460"/>
      <c r="N772" s="460"/>
      <c r="O772" s="460"/>
      <c r="Q772" s="475"/>
    </row>
    <row r="773" spans="1:17">
      <c r="C773" s="4" t="s">
        <v>596</v>
      </c>
      <c r="D773" s="82"/>
      <c r="E773" s="4"/>
      <c r="F773" s="4"/>
      <c r="G773" s="4"/>
      <c r="H773" s="4"/>
      <c r="I773" s="460"/>
      <c r="J773" s="460"/>
      <c r="K773" s="475"/>
      <c r="L773" s="460"/>
      <c r="M773" s="460"/>
      <c r="N773" s="460"/>
      <c r="O773" s="460"/>
      <c r="Q773" s="475"/>
    </row>
    <row r="774" spans="1:17">
      <c r="D774" s="82"/>
      <c r="E774" s="4"/>
      <c r="F774" s="4"/>
      <c r="G774" s="4"/>
      <c r="H774" s="4"/>
      <c r="I774" s="460"/>
      <c r="J774" s="460"/>
      <c r="K774" s="475"/>
      <c r="L774" s="460"/>
      <c r="M774" s="460"/>
      <c r="N774" s="460"/>
      <c r="O774" s="460"/>
      <c r="Q774" s="475"/>
    </row>
    <row r="775" spans="1:17">
      <c r="C775" s="4" t="s">
        <v>597</v>
      </c>
      <c r="D775" s="477"/>
      <c r="E775" s="477"/>
      <c r="F775" s="477"/>
      <c r="G775" s="477"/>
      <c r="H775" s="475"/>
      <c r="I775" s="475"/>
      <c r="J775" s="479"/>
      <c r="K775" s="479"/>
      <c r="L775" s="479"/>
      <c r="M775" s="479"/>
      <c r="N775" s="479"/>
      <c r="O775" s="479"/>
      <c r="Q775" s="479"/>
    </row>
    <row r="776" spans="1:17">
      <c r="C776" s="4" t="s">
        <v>477</v>
      </c>
      <c r="D776" s="477"/>
      <c r="E776" s="477"/>
      <c r="F776" s="477"/>
      <c r="G776" s="477"/>
      <c r="H776" s="475"/>
      <c r="I776" s="475"/>
      <c r="J776" s="479"/>
      <c r="K776" s="479"/>
      <c r="L776" s="479"/>
      <c r="M776" s="479"/>
      <c r="N776" s="479"/>
      <c r="O776" s="479"/>
      <c r="Q776" s="479"/>
    </row>
    <row r="777" spans="1:17">
      <c r="C777" s="4" t="s">
        <v>290</v>
      </c>
      <c r="D777" s="477"/>
      <c r="E777" s="477"/>
      <c r="F777" s="477"/>
      <c r="G777" s="477"/>
      <c r="H777" s="475"/>
      <c r="I777" s="475"/>
      <c r="J777" s="479"/>
      <c r="K777" s="479"/>
      <c r="L777" s="479"/>
      <c r="M777" s="479"/>
      <c r="N777" s="479"/>
      <c r="O777" s="479"/>
      <c r="Q777" s="479"/>
    </row>
    <row r="778" spans="1:17">
      <c r="C778" s="4"/>
      <c r="D778" s="477"/>
      <c r="E778" s="477"/>
      <c r="F778" s="477"/>
      <c r="G778" s="477"/>
      <c r="H778" s="475"/>
      <c r="I778" s="475"/>
      <c r="J778" s="479"/>
      <c r="K778" s="479"/>
      <c r="L778" s="479"/>
      <c r="M778" s="479"/>
      <c r="N778" s="479"/>
      <c r="O778" s="479"/>
      <c r="Q778" s="479"/>
    </row>
    <row r="779" spans="1:17" ht="20.25">
      <c r="A779" s="419" t="s">
        <v>763</v>
      </c>
      <c r="B779" s="4"/>
      <c r="C779" s="4"/>
      <c r="D779" s="82"/>
      <c r="E779" s="4"/>
      <c r="F779" s="84"/>
      <c r="G779" s="84"/>
      <c r="H779" s="4"/>
      <c r="I779" s="460"/>
      <c r="L779" s="11"/>
      <c r="M779" s="11"/>
      <c r="N779" s="11"/>
      <c r="O779" s="11" t="str">
        <f>"Page "&amp;SUM(Q$3:Q779)&amp;" of "</f>
        <v xml:space="preserve">Page 12 of </v>
      </c>
      <c r="P779" s="420">
        <f>COUNT(Q$8:Q$58123)</f>
        <v>15</v>
      </c>
      <c r="Q779" s="547">
        <v>1</v>
      </c>
    </row>
    <row r="780" spans="1:17">
      <c r="B780" s="4"/>
      <c r="C780" s="4"/>
      <c r="D780" s="82"/>
      <c r="E780" s="4"/>
      <c r="F780" s="4"/>
      <c r="G780" s="4"/>
      <c r="H780" s="4"/>
      <c r="I780" s="460"/>
      <c r="J780" s="4"/>
      <c r="K780" s="4"/>
    </row>
    <row r="781" spans="1:17" ht="18">
      <c r="B781" s="421" t="s">
        <v>175</v>
      </c>
      <c r="C781" s="480" t="s">
        <v>291</v>
      </c>
      <c r="D781" s="82"/>
      <c r="E781" s="4"/>
      <c r="F781" s="4"/>
      <c r="G781" s="4"/>
      <c r="H781" s="4"/>
      <c r="I781" s="460"/>
      <c r="J781" s="460"/>
      <c r="K781" s="475"/>
      <c r="L781" s="460"/>
      <c r="M781" s="460"/>
      <c r="N781" s="460"/>
      <c r="O781" s="460"/>
      <c r="Q781" s="475"/>
    </row>
    <row r="782" spans="1:17" ht="18.75">
      <c r="B782" s="421"/>
      <c r="C782" s="13"/>
      <c r="D782" s="82"/>
      <c r="E782" s="4"/>
      <c r="F782" s="4"/>
      <c r="G782" s="4"/>
      <c r="H782" s="4"/>
      <c r="I782" s="460"/>
      <c r="J782" s="460"/>
      <c r="K782" s="475"/>
      <c r="L782" s="460"/>
      <c r="M782" s="460"/>
      <c r="N782" s="460"/>
      <c r="O782" s="460"/>
      <c r="Q782" s="475"/>
    </row>
    <row r="783" spans="1:17" ht="18.75">
      <c r="B783" s="421"/>
      <c r="C783" s="13" t="s">
        <v>292</v>
      </c>
      <c r="D783" s="82"/>
      <c r="E783" s="4"/>
      <c r="F783" s="4"/>
      <c r="G783" s="4"/>
      <c r="H783" s="4"/>
      <c r="I783" s="460"/>
      <c r="J783" s="460"/>
      <c r="K783" s="475"/>
      <c r="L783" s="460"/>
      <c r="M783" s="460"/>
      <c r="N783" s="460"/>
      <c r="O783" s="460"/>
      <c r="Q783" s="475"/>
    </row>
    <row r="784" spans="1:17" ht="15.75" thickBot="1">
      <c r="C784" s="254"/>
      <c r="D784" s="82"/>
      <c r="E784" s="4"/>
      <c r="F784" s="4"/>
      <c r="G784" s="4"/>
      <c r="H784" s="4"/>
      <c r="I784" s="460"/>
      <c r="J784" s="460"/>
      <c r="K784" s="475"/>
      <c r="L784" s="460"/>
      <c r="M784" s="460"/>
      <c r="N784" s="460"/>
      <c r="O784" s="460"/>
      <c r="Q784" s="475"/>
    </row>
    <row r="785" spans="1:17" ht="15.75">
      <c r="C785" s="422" t="s">
        <v>293</v>
      </c>
      <c r="D785" s="82"/>
      <c r="E785" s="4"/>
      <c r="F785" s="4"/>
      <c r="G785" s="4"/>
      <c r="H785" s="645"/>
      <c r="I785" s="4" t="s">
        <v>272</v>
      </c>
      <c r="J785" s="4"/>
      <c r="K785" s="4"/>
      <c r="L785" s="548">
        <f>+J791</f>
        <v>2025</v>
      </c>
      <c r="M785" s="532" t="s">
        <v>255</v>
      </c>
      <c r="N785" s="532" t="s">
        <v>256</v>
      </c>
      <c r="O785" s="533" t="s">
        <v>257</v>
      </c>
    </row>
    <row r="786" spans="1:17" ht="15.75">
      <c r="C786" s="422"/>
      <c r="D786" s="82"/>
      <c r="E786" s="4"/>
      <c r="F786" s="4"/>
      <c r="H786" s="4"/>
      <c r="I786" s="484"/>
      <c r="J786" s="484"/>
      <c r="K786" s="485"/>
      <c r="L786" s="549" t="s">
        <v>456</v>
      </c>
      <c r="M786" s="550">
        <f>VLOOKUP(J791,C798:P857,10)</f>
        <v>67532.72947825455</v>
      </c>
      <c r="N786" s="550">
        <f>VLOOKUP(J791,C798:P857,12)</f>
        <v>67532.72947825455</v>
      </c>
      <c r="O786" s="551">
        <f>+N786-M786</f>
        <v>0</v>
      </c>
      <c r="Q786" s="485"/>
    </row>
    <row r="787" spans="1:17">
      <c r="C787" s="487" t="s">
        <v>294</v>
      </c>
      <c r="D787" s="1274" t="s">
        <v>953</v>
      </c>
      <c r="E787" s="1275"/>
      <c r="F787" s="1275"/>
      <c r="G787" s="1275"/>
      <c r="H787" s="1275"/>
      <c r="I787" s="1275"/>
      <c r="J787" s="460"/>
      <c r="K787" s="475"/>
      <c r="L787" s="549" t="s">
        <v>457</v>
      </c>
      <c r="M787" s="552">
        <f>VLOOKUP(J791,C798:P857,6)</f>
        <v>72080.245883318363</v>
      </c>
      <c r="N787" s="552">
        <f>VLOOKUP(J791,C798:P857,7)</f>
        <v>72080.245883318363</v>
      </c>
      <c r="O787" s="553">
        <f>+N787-M787</f>
        <v>0</v>
      </c>
      <c r="Q787" s="475"/>
    </row>
    <row r="788" spans="1:17" ht="13.5" thickBot="1">
      <c r="C788" s="489"/>
      <c r="D788" s="1275"/>
      <c r="E788" s="1275"/>
      <c r="F788" s="1275"/>
      <c r="G788" s="1275"/>
      <c r="H788" s="1275"/>
      <c r="I788" s="1275"/>
      <c r="J788" s="460"/>
      <c r="K788" s="475"/>
      <c r="L788" s="499" t="s">
        <v>458</v>
      </c>
      <c r="M788" s="554">
        <f>+M787-M786</f>
        <v>4547.5164050638123</v>
      </c>
      <c r="N788" s="554">
        <f>+N787-N786</f>
        <v>4547.5164050638123</v>
      </c>
      <c r="O788" s="555">
        <f>+O787-O786</f>
        <v>0</v>
      </c>
      <c r="Q788" s="475"/>
    </row>
    <row r="789" spans="1:17" ht="13.5" thickBot="1">
      <c r="C789" s="489"/>
      <c r="D789" s="4"/>
      <c r="E789" s="490"/>
      <c r="F789" s="490"/>
      <c r="G789" s="490"/>
      <c r="H789" s="490"/>
      <c r="I789" s="490"/>
      <c r="J789" s="490"/>
      <c r="K789" s="490"/>
      <c r="L789" s="490"/>
      <c r="M789" s="490"/>
      <c r="N789" s="490"/>
      <c r="O789" s="490"/>
      <c r="Q789" s="490"/>
    </row>
    <row r="790" spans="1:17" ht="13.5" thickBot="1">
      <c r="C790" s="491" t="s">
        <v>295</v>
      </c>
      <c r="D790" s="492"/>
      <c r="E790" s="492"/>
      <c r="F790" s="492"/>
      <c r="G790" s="492"/>
      <c r="H790" s="492"/>
      <c r="I790" s="492"/>
      <c r="J790" s="492"/>
      <c r="Q790"/>
    </row>
    <row r="791" spans="1:17" ht="15">
      <c r="A791" s="978"/>
      <c r="C791" s="494" t="s">
        <v>273</v>
      </c>
      <c r="D791" s="979">
        <v>633539.96</v>
      </c>
      <c r="E791" s="4" t="s">
        <v>274</v>
      </c>
      <c r="H791" s="82"/>
      <c r="I791" s="82"/>
      <c r="J791" s="495">
        <f>$J$95</f>
        <v>2025</v>
      </c>
      <c r="K791" s="138"/>
      <c r="L791" s="1284" t="s">
        <v>275</v>
      </c>
      <c r="M791" s="1284"/>
      <c r="N791" s="1284"/>
      <c r="O791" s="1284"/>
      <c r="Q791" s="138"/>
    </row>
    <row r="792" spans="1:17">
      <c r="A792" s="978"/>
      <c r="C792" s="494" t="s">
        <v>276</v>
      </c>
      <c r="D792" s="647">
        <v>2017</v>
      </c>
      <c r="E792" s="494" t="s">
        <v>277</v>
      </c>
      <c r="F792" s="82"/>
      <c r="G792" s="82"/>
      <c r="I792"/>
      <c r="J792" s="650">
        <v>0</v>
      </c>
      <c r="K792" s="496"/>
      <c r="L792" s="475" t="s">
        <v>476</v>
      </c>
      <c r="Q792" s="496"/>
    </row>
    <row r="793" spans="1:17">
      <c r="A793" s="978"/>
      <c r="C793" s="494" t="s">
        <v>278</v>
      </c>
      <c r="D793" s="946">
        <v>5</v>
      </c>
      <c r="E793" s="494" t="s">
        <v>279</v>
      </c>
      <c r="F793" s="82"/>
      <c r="G793" s="82"/>
      <c r="I793"/>
      <c r="J793" s="497">
        <f>$F$70</f>
        <v>0.11108872081308177</v>
      </c>
      <c r="K793" s="84"/>
      <c r="L793" s="4" t="str">
        <f>"          INPUT TRUE-UP ARR (WITH &amp; WITHOUT INCENTIVES) FROM EACH PRIOR YEAR"</f>
        <v xml:space="preserve">          INPUT TRUE-UP ARR (WITH &amp; WITHOUT INCENTIVES) FROM EACH PRIOR YEAR</v>
      </c>
      <c r="Q793" s="84"/>
    </row>
    <row r="794" spans="1:17">
      <c r="A794" s="978"/>
      <c r="C794" s="494" t="s">
        <v>280</v>
      </c>
      <c r="D794" s="498">
        <f>H79</f>
        <v>38</v>
      </c>
      <c r="E794" s="494" t="s">
        <v>281</v>
      </c>
      <c r="F794" s="82"/>
      <c r="G794" s="82"/>
      <c r="I794"/>
      <c r="J794" s="497">
        <f>IF(H785="",J793,$F$69)</f>
        <v>0.11108872081308177</v>
      </c>
      <c r="K794" s="84"/>
      <c r="L794" s="4" t="s">
        <v>363</v>
      </c>
      <c r="M794" s="84"/>
      <c r="N794" s="84"/>
      <c r="O794" s="84"/>
      <c r="Q794" s="84"/>
    </row>
    <row r="795" spans="1:17" ht="13.5" thickBot="1">
      <c r="A795" s="978"/>
      <c r="C795" s="494" t="s">
        <v>282</v>
      </c>
      <c r="D795" s="649" t="s">
        <v>930</v>
      </c>
      <c r="E795" s="499" t="s">
        <v>283</v>
      </c>
      <c r="F795" s="500"/>
      <c r="G795" s="500"/>
      <c r="H795" s="501"/>
      <c r="I795" s="501"/>
      <c r="J795" s="488">
        <f>IF(D791=0,0,D791/D794)</f>
        <v>16672.104210526315</v>
      </c>
      <c r="K795" s="475"/>
      <c r="L795" s="475" t="s">
        <v>364</v>
      </c>
      <c r="M795" s="475"/>
      <c r="N795" s="475"/>
      <c r="O795" s="475"/>
      <c r="Q795" s="475"/>
    </row>
    <row r="796" spans="1:17" ht="38.25">
      <c r="A796" s="12"/>
      <c r="B796" s="12"/>
      <c r="C796" s="502" t="s">
        <v>273</v>
      </c>
      <c r="D796" s="503" t="s">
        <v>284</v>
      </c>
      <c r="E796" s="504" t="s">
        <v>285</v>
      </c>
      <c r="F796" s="503" t="s">
        <v>286</v>
      </c>
      <c r="G796" s="503" t="s">
        <v>459</v>
      </c>
      <c r="H796" s="504" t="s">
        <v>357</v>
      </c>
      <c r="I796" s="505" t="s">
        <v>357</v>
      </c>
      <c r="J796" s="502" t="s">
        <v>296</v>
      </c>
      <c r="K796" s="506"/>
      <c r="L796" s="504" t="s">
        <v>359</v>
      </c>
      <c r="M796" s="504" t="s">
        <v>365</v>
      </c>
      <c r="N796" s="504" t="s">
        <v>359</v>
      </c>
      <c r="O796" s="504" t="s">
        <v>367</v>
      </c>
      <c r="P796" s="504" t="s">
        <v>287</v>
      </c>
      <c r="Q796" s="131"/>
    </row>
    <row r="797" spans="1:17" ht="13.5" thickBot="1">
      <c r="C797" s="507" t="s">
        <v>178</v>
      </c>
      <c r="D797" s="508" t="s">
        <v>179</v>
      </c>
      <c r="E797" s="507" t="s">
        <v>38</v>
      </c>
      <c r="F797" s="508" t="s">
        <v>179</v>
      </c>
      <c r="G797" s="508" t="s">
        <v>179</v>
      </c>
      <c r="H797" s="509" t="s">
        <v>299</v>
      </c>
      <c r="I797" s="510" t="s">
        <v>301</v>
      </c>
      <c r="J797" s="507" t="s">
        <v>390</v>
      </c>
      <c r="K797" s="511"/>
      <c r="L797" s="509" t="s">
        <v>288</v>
      </c>
      <c r="M797" s="509" t="s">
        <v>288</v>
      </c>
      <c r="N797" s="509" t="s">
        <v>468</v>
      </c>
      <c r="O797" s="509" t="s">
        <v>468</v>
      </c>
      <c r="P797" s="509" t="s">
        <v>468</v>
      </c>
      <c r="Q797" s="138"/>
    </row>
    <row r="798" spans="1:17">
      <c r="C798" s="512">
        <f>IF(D792= "","-",D792)</f>
        <v>2017</v>
      </c>
      <c r="D798" s="477">
        <f>+D791</f>
        <v>633539.96</v>
      </c>
      <c r="E798" s="513">
        <f>+J795/12*(12-D793)</f>
        <v>9725.394122807018</v>
      </c>
      <c r="F798" s="556">
        <f t="shared" ref="F798:F857" si="73">+D798-E798</f>
        <v>623814.56587719289</v>
      </c>
      <c r="G798" s="477">
        <f t="shared" ref="G798:G857" si="74">+(D798+F798)/2</f>
        <v>628677.26293859642</v>
      </c>
      <c r="H798" s="514">
        <f>+J793*G798+E798</f>
        <v>79564.347066925155</v>
      </c>
      <c r="I798" s="515">
        <f>+J794*G798+E798</f>
        <v>79564.347066925155</v>
      </c>
      <c r="J798" s="516">
        <f t="shared" ref="J798:J857" si="75">+I798-H798</f>
        <v>0</v>
      </c>
      <c r="K798" s="516"/>
      <c r="L798" s="517">
        <v>0</v>
      </c>
      <c r="M798" s="557">
        <f t="shared" ref="M798:M857" si="76">IF(L798&lt;&gt;0,+H798-L798,0)</f>
        <v>0</v>
      </c>
      <c r="N798" s="517">
        <v>0</v>
      </c>
      <c r="O798" s="557">
        <f t="shared" ref="O798:O857" si="77">IF(N798&lt;&gt;0,+I798-N798,0)</f>
        <v>0</v>
      </c>
      <c r="P798" s="557">
        <f t="shared" ref="P798:P857" si="78">+O798-M798</f>
        <v>0</v>
      </c>
      <c r="Q798" s="479"/>
    </row>
    <row r="799" spans="1:17">
      <c r="C799" s="512">
        <f>IF(D792="","-",+C798+1)</f>
        <v>2018</v>
      </c>
      <c r="D799" s="477">
        <f t="shared" ref="D799:D857" si="79">F798</f>
        <v>623814.56587719289</v>
      </c>
      <c r="E799" s="519">
        <f>IF(D799&gt;$J$795,$J$795,D799)</f>
        <v>16672.104210526315</v>
      </c>
      <c r="F799" s="519">
        <f t="shared" si="73"/>
        <v>607142.46166666655</v>
      </c>
      <c r="G799" s="477">
        <f t="shared" si="74"/>
        <v>615478.51377192978</v>
      </c>
      <c r="H799" s="513">
        <f>+J793*G799+E799</f>
        <v>85044.824993386734</v>
      </c>
      <c r="I799" s="520">
        <f>+J794*G799+E799</f>
        <v>85044.824993386734</v>
      </c>
      <c r="J799" s="516">
        <f t="shared" si="75"/>
        <v>0</v>
      </c>
      <c r="K799" s="516"/>
      <c r="L799" s="521">
        <v>0</v>
      </c>
      <c r="M799" s="516">
        <f t="shared" si="76"/>
        <v>0</v>
      </c>
      <c r="N799" s="521">
        <v>0</v>
      </c>
      <c r="O799" s="516">
        <f t="shared" si="77"/>
        <v>0</v>
      </c>
      <c r="P799" s="516">
        <f t="shared" si="78"/>
        <v>0</v>
      </c>
      <c r="Q799" s="479"/>
    </row>
    <row r="800" spans="1:17">
      <c r="C800" s="512">
        <f>IF(D792="","-",+C799+1)</f>
        <v>2019</v>
      </c>
      <c r="D800" s="960">
        <f t="shared" si="79"/>
        <v>607142.46166666655</v>
      </c>
      <c r="E800" s="519">
        <f t="shared" ref="E800:E857" si="80">IF(D800&gt;$J$795,$J$795,D800)</f>
        <v>16672.104210526315</v>
      </c>
      <c r="F800" s="519">
        <f t="shared" si="73"/>
        <v>590470.35745614022</v>
      </c>
      <c r="G800" s="477">
        <f t="shared" si="74"/>
        <v>598806.40956140333</v>
      </c>
      <c r="H800" s="513">
        <f>+J793*G800+E800</f>
        <v>83192.742263376946</v>
      </c>
      <c r="I800" s="520">
        <f>+J794*G800+E800</f>
        <v>83192.742263376946</v>
      </c>
      <c r="J800" s="516">
        <f t="shared" si="75"/>
        <v>0</v>
      </c>
      <c r="K800" s="516"/>
      <c r="L800" s="521">
        <v>70225.840099402631</v>
      </c>
      <c r="M800" s="516">
        <f t="shared" si="76"/>
        <v>12966.902163974315</v>
      </c>
      <c r="N800" s="521">
        <v>70225.840099402631</v>
      </c>
      <c r="O800" s="516">
        <f t="shared" si="77"/>
        <v>12966.902163974315</v>
      </c>
      <c r="P800" s="516">
        <f t="shared" si="78"/>
        <v>0</v>
      </c>
      <c r="Q800" s="479"/>
    </row>
    <row r="801" spans="3:17">
      <c r="C801" s="512">
        <f>IF(D792="","-",+C800+1)</f>
        <v>2020</v>
      </c>
      <c r="D801" s="477">
        <f t="shared" si="79"/>
        <v>590470.35745614022</v>
      </c>
      <c r="E801" s="519">
        <f t="shared" si="80"/>
        <v>16672.104210526315</v>
      </c>
      <c r="F801" s="519">
        <f t="shared" si="73"/>
        <v>573798.25324561389</v>
      </c>
      <c r="G801" s="477">
        <f t="shared" si="74"/>
        <v>582134.30535087711</v>
      </c>
      <c r="H801" s="513">
        <f>+J793*G801+E801</f>
        <v>81340.659533367201</v>
      </c>
      <c r="I801" s="520">
        <f>+J794*G801+E801</f>
        <v>81340.659533367201</v>
      </c>
      <c r="J801" s="516">
        <f t="shared" si="75"/>
        <v>0</v>
      </c>
      <c r="K801" s="516"/>
      <c r="L801" s="521">
        <v>66651.873871144417</v>
      </c>
      <c r="M801" s="516">
        <f t="shared" si="76"/>
        <v>14688.785662222785</v>
      </c>
      <c r="N801" s="521">
        <v>66651.873871144417</v>
      </c>
      <c r="O801" s="516">
        <f t="shared" si="77"/>
        <v>14688.785662222785</v>
      </c>
      <c r="P801" s="516">
        <f t="shared" si="78"/>
        <v>0</v>
      </c>
      <c r="Q801" s="479"/>
    </row>
    <row r="802" spans="3:17">
      <c r="C802" s="512">
        <f>IF(D792="","-",+C801+1)</f>
        <v>2021</v>
      </c>
      <c r="D802" s="477">
        <f t="shared" si="79"/>
        <v>573798.25324561389</v>
      </c>
      <c r="E802" s="519">
        <f t="shared" si="80"/>
        <v>16672.104210526315</v>
      </c>
      <c r="F802" s="519">
        <f t="shared" si="73"/>
        <v>557126.14903508755</v>
      </c>
      <c r="G802" s="477">
        <f t="shared" si="74"/>
        <v>565462.20114035066</v>
      </c>
      <c r="H802" s="513">
        <f>+J793*G802+E802</f>
        <v>79488.576803357413</v>
      </c>
      <c r="I802" s="520">
        <f>+J794*G802+E802</f>
        <v>79488.576803357413</v>
      </c>
      <c r="J802" s="516">
        <f t="shared" si="75"/>
        <v>0</v>
      </c>
      <c r="K802" s="516"/>
      <c r="L802" s="521">
        <v>65739.836742852727</v>
      </c>
      <c r="M802" s="516">
        <f t="shared" si="76"/>
        <v>13748.740060504686</v>
      </c>
      <c r="N802" s="521">
        <v>65739.836742852727</v>
      </c>
      <c r="O802" s="516">
        <f t="shared" si="77"/>
        <v>13748.740060504686</v>
      </c>
      <c r="P802" s="516">
        <f t="shared" si="78"/>
        <v>0</v>
      </c>
      <c r="Q802" s="479"/>
    </row>
    <row r="803" spans="3:17">
      <c r="C803" s="512">
        <f>IF(D792="","-",+C802+1)</f>
        <v>2022</v>
      </c>
      <c r="D803" s="477">
        <f t="shared" si="79"/>
        <v>557126.14903508755</v>
      </c>
      <c r="E803" s="519">
        <f t="shared" si="80"/>
        <v>16672.104210526315</v>
      </c>
      <c r="F803" s="519">
        <f t="shared" si="73"/>
        <v>540454.04482456122</v>
      </c>
      <c r="G803" s="477">
        <f t="shared" si="74"/>
        <v>548790.09692982445</v>
      </c>
      <c r="H803" s="513">
        <f>+J793*G803+E803</f>
        <v>77636.494073347669</v>
      </c>
      <c r="I803" s="520">
        <f>+J794*G803+E803</f>
        <v>77636.494073347669</v>
      </c>
      <c r="J803" s="516">
        <f t="shared" si="75"/>
        <v>0</v>
      </c>
      <c r="K803" s="516"/>
      <c r="L803" s="521">
        <v>66615.554034450033</v>
      </c>
      <c r="M803" s="516">
        <f t="shared" si="76"/>
        <v>11020.940038897636</v>
      </c>
      <c r="N803" s="521">
        <v>66615.554034450033</v>
      </c>
      <c r="O803" s="516">
        <f t="shared" si="77"/>
        <v>11020.940038897636</v>
      </c>
      <c r="P803" s="516">
        <f t="shared" si="78"/>
        <v>0</v>
      </c>
      <c r="Q803" s="479"/>
    </row>
    <row r="804" spans="3:17">
      <c r="C804" s="512">
        <f>IF(D792="","-",+C803+1)</f>
        <v>2023</v>
      </c>
      <c r="D804" s="477">
        <f t="shared" si="79"/>
        <v>540454.04482456122</v>
      </c>
      <c r="E804" s="519">
        <f t="shared" si="80"/>
        <v>16672.104210526315</v>
      </c>
      <c r="F804" s="519">
        <f t="shared" si="73"/>
        <v>523781.94061403489</v>
      </c>
      <c r="G804" s="477">
        <f t="shared" si="74"/>
        <v>532117.992719298</v>
      </c>
      <c r="H804" s="513">
        <f>+J793*G804+E804</f>
        <v>75784.411343337895</v>
      </c>
      <c r="I804" s="520">
        <f>+J794*G804+E804</f>
        <v>75784.411343337895</v>
      </c>
      <c r="J804" s="516">
        <f t="shared" si="75"/>
        <v>0</v>
      </c>
      <c r="K804" s="516"/>
      <c r="L804" s="521">
        <v>70606.432905633919</v>
      </c>
      <c r="M804" s="516">
        <f t="shared" si="76"/>
        <v>5177.9784377039759</v>
      </c>
      <c r="N804" s="521">
        <v>70606.432905633919</v>
      </c>
      <c r="O804" s="516">
        <f t="shared" si="77"/>
        <v>5177.9784377039759</v>
      </c>
      <c r="P804" s="516">
        <f t="shared" si="78"/>
        <v>0</v>
      </c>
      <c r="Q804" s="479"/>
    </row>
    <row r="805" spans="3:17">
      <c r="C805" s="512">
        <f>IF(D792="","-",+C804+1)</f>
        <v>2024</v>
      </c>
      <c r="D805" s="477">
        <f t="shared" si="79"/>
        <v>523781.94061403489</v>
      </c>
      <c r="E805" s="519">
        <f t="shared" si="80"/>
        <v>16672.104210526315</v>
      </c>
      <c r="F805" s="519">
        <f t="shared" si="73"/>
        <v>507109.83640350855</v>
      </c>
      <c r="G805" s="477">
        <f t="shared" si="74"/>
        <v>515445.88850877172</v>
      </c>
      <c r="H805" s="513">
        <f>+J793*G805+E805</f>
        <v>73932.328613328136</v>
      </c>
      <c r="I805" s="520">
        <f>+J794*G805+E805</f>
        <v>73932.328613328136</v>
      </c>
      <c r="J805" s="516">
        <f t="shared" si="75"/>
        <v>0</v>
      </c>
      <c r="K805" s="516"/>
      <c r="L805" s="521">
        <v>70844.732422472764</v>
      </c>
      <c r="M805" s="516">
        <f t="shared" si="76"/>
        <v>3087.5961908553727</v>
      </c>
      <c r="N805" s="521">
        <v>70844.732422472764</v>
      </c>
      <c r="O805" s="516">
        <f t="shared" si="77"/>
        <v>3087.5961908553727</v>
      </c>
      <c r="P805" s="516">
        <f t="shared" si="78"/>
        <v>0</v>
      </c>
      <c r="Q805" s="479"/>
    </row>
    <row r="806" spans="3:17">
      <c r="C806" s="512">
        <f>IF(D792="","-",+C805+1)</f>
        <v>2025</v>
      </c>
      <c r="D806" s="477">
        <f t="shared" si="79"/>
        <v>507109.83640350855</v>
      </c>
      <c r="E806" s="519">
        <f t="shared" si="80"/>
        <v>16672.104210526315</v>
      </c>
      <c r="F806" s="519">
        <f t="shared" si="73"/>
        <v>490437.73219298222</v>
      </c>
      <c r="G806" s="477">
        <f t="shared" si="74"/>
        <v>498773.78429824539</v>
      </c>
      <c r="H806" s="513">
        <f>+J793*G806+E806</f>
        <v>72080.245883318363</v>
      </c>
      <c r="I806" s="520">
        <f>+J794*G806+E806</f>
        <v>72080.245883318363</v>
      </c>
      <c r="J806" s="516">
        <f t="shared" si="75"/>
        <v>0</v>
      </c>
      <c r="K806" s="516"/>
      <c r="L806" s="521">
        <v>67532.72947825455</v>
      </c>
      <c r="M806" s="516">
        <f t="shared" si="76"/>
        <v>4547.5164050638123</v>
      </c>
      <c r="N806" s="521">
        <v>67532.72947825455</v>
      </c>
      <c r="O806" s="516">
        <f t="shared" si="77"/>
        <v>4547.5164050638123</v>
      </c>
      <c r="P806" s="516">
        <f t="shared" si="78"/>
        <v>0</v>
      </c>
      <c r="Q806" s="479"/>
    </row>
    <row r="807" spans="3:17">
      <c r="C807" s="512">
        <f>IF(D792="","-",+C806+1)</f>
        <v>2026</v>
      </c>
      <c r="D807" s="477">
        <f t="shared" si="79"/>
        <v>490437.73219298222</v>
      </c>
      <c r="E807" s="519">
        <f t="shared" si="80"/>
        <v>16672.104210526315</v>
      </c>
      <c r="F807" s="519">
        <f t="shared" si="73"/>
        <v>473765.62798245589</v>
      </c>
      <c r="G807" s="477">
        <f t="shared" si="74"/>
        <v>482101.68008771905</v>
      </c>
      <c r="H807" s="513">
        <f>+J793*G807+E807</f>
        <v>70228.163153308604</v>
      </c>
      <c r="I807" s="520">
        <f>+J794*G807+E807</f>
        <v>70228.163153308604</v>
      </c>
      <c r="J807" s="516">
        <f t="shared" si="75"/>
        <v>0</v>
      </c>
      <c r="K807" s="516"/>
      <c r="L807" s="521"/>
      <c r="M807" s="516">
        <f t="shared" si="76"/>
        <v>0</v>
      </c>
      <c r="N807" s="521"/>
      <c r="O807" s="516">
        <f t="shared" si="77"/>
        <v>0</v>
      </c>
      <c r="P807" s="516">
        <f t="shared" si="78"/>
        <v>0</v>
      </c>
      <c r="Q807" s="479"/>
    </row>
    <row r="808" spans="3:17">
      <c r="C808" s="512">
        <f>IF(D792="","-",+C807+1)</f>
        <v>2027</v>
      </c>
      <c r="D808" s="477">
        <f t="shared" si="79"/>
        <v>473765.62798245589</v>
      </c>
      <c r="E808" s="519">
        <f t="shared" si="80"/>
        <v>16672.104210526315</v>
      </c>
      <c r="F808" s="519">
        <f t="shared" si="73"/>
        <v>457093.52377192955</v>
      </c>
      <c r="G808" s="477">
        <f t="shared" si="74"/>
        <v>465429.57587719272</v>
      </c>
      <c r="H808" s="513">
        <f>+J793*G808+E808</f>
        <v>68376.08042329883</v>
      </c>
      <c r="I808" s="520">
        <f>+J794*G808+E808</f>
        <v>68376.08042329883</v>
      </c>
      <c r="J808" s="516">
        <f t="shared" si="75"/>
        <v>0</v>
      </c>
      <c r="K808" s="516"/>
      <c r="L808" s="521"/>
      <c r="M808" s="516">
        <f t="shared" si="76"/>
        <v>0</v>
      </c>
      <c r="N808" s="521"/>
      <c r="O808" s="516">
        <f t="shared" si="77"/>
        <v>0</v>
      </c>
      <c r="P808" s="516">
        <f t="shared" si="78"/>
        <v>0</v>
      </c>
      <c r="Q808" s="479"/>
    </row>
    <row r="809" spans="3:17">
      <c r="C809" s="512">
        <f>IF(D792="","-",+C808+1)</f>
        <v>2028</v>
      </c>
      <c r="D809" s="477">
        <f t="shared" si="79"/>
        <v>457093.52377192955</v>
      </c>
      <c r="E809" s="519">
        <f t="shared" si="80"/>
        <v>16672.104210526315</v>
      </c>
      <c r="F809" s="519">
        <f t="shared" si="73"/>
        <v>440421.41956140322</v>
      </c>
      <c r="G809" s="477">
        <f t="shared" si="74"/>
        <v>448757.47166666639</v>
      </c>
      <c r="H809" s="513">
        <f>+J793*G809+E809</f>
        <v>66523.997693289071</v>
      </c>
      <c r="I809" s="520">
        <f>+J794*G809+E809</f>
        <v>66523.997693289071</v>
      </c>
      <c r="J809" s="516">
        <f t="shared" si="75"/>
        <v>0</v>
      </c>
      <c r="K809" s="516"/>
      <c r="L809" s="521"/>
      <c r="M809" s="516">
        <f t="shared" si="76"/>
        <v>0</v>
      </c>
      <c r="N809" s="521"/>
      <c r="O809" s="516">
        <f t="shared" si="77"/>
        <v>0</v>
      </c>
      <c r="P809" s="516">
        <f t="shared" si="78"/>
        <v>0</v>
      </c>
      <c r="Q809" s="479"/>
    </row>
    <row r="810" spans="3:17">
      <c r="C810" s="512">
        <f>IF(D792="","-",+C809+1)</f>
        <v>2029</v>
      </c>
      <c r="D810" s="477">
        <f t="shared" si="79"/>
        <v>440421.41956140322</v>
      </c>
      <c r="E810" s="519">
        <f t="shared" si="80"/>
        <v>16672.104210526315</v>
      </c>
      <c r="F810" s="519">
        <f t="shared" si="73"/>
        <v>423749.31535087689</v>
      </c>
      <c r="G810" s="477">
        <f t="shared" si="74"/>
        <v>432085.36745614005</v>
      </c>
      <c r="H810" s="513">
        <f>+J793*G810+E810</f>
        <v>64671.914963279312</v>
      </c>
      <c r="I810" s="520">
        <f>+J794*G810+E810</f>
        <v>64671.914963279312</v>
      </c>
      <c r="J810" s="516">
        <f t="shared" si="75"/>
        <v>0</v>
      </c>
      <c r="K810" s="516"/>
      <c r="L810" s="521"/>
      <c r="M810" s="516">
        <f t="shared" si="76"/>
        <v>0</v>
      </c>
      <c r="N810" s="521"/>
      <c r="O810" s="516">
        <f t="shared" si="77"/>
        <v>0</v>
      </c>
      <c r="P810" s="516">
        <f t="shared" si="78"/>
        <v>0</v>
      </c>
      <c r="Q810" s="479"/>
    </row>
    <row r="811" spans="3:17">
      <c r="C811" s="512">
        <f>IF(D792="","-",+C810+1)</f>
        <v>2030</v>
      </c>
      <c r="D811" s="477">
        <f t="shared" si="79"/>
        <v>423749.31535087689</v>
      </c>
      <c r="E811" s="519">
        <f t="shared" si="80"/>
        <v>16672.104210526315</v>
      </c>
      <c r="F811" s="519">
        <f t="shared" si="73"/>
        <v>407077.21114035056</v>
      </c>
      <c r="G811" s="477">
        <f t="shared" si="74"/>
        <v>415413.26324561372</v>
      </c>
      <c r="H811" s="513">
        <f>+J793*G811+E811</f>
        <v>62819.832233269539</v>
      </c>
      <c r="I811" s="520">
        <f>+J794*G811+E811</f>
        <v>62819.832233269539</v>
      </c>
      <c r="J811" s="516">
        <f t="shared" si="75"/>
        <v>0</v>
      </c>
      <c r="K811" s="516"/>
      <c r="L811" s="521"/>
      <c r="M811" s="516">
        <f t="shared" si="76"/>
        <v>0</v>
      </c>
      <c r="N811" s="521"/>
      <c r="O811" s="516">
        <f t="shared" si="77"/>
        <v>0</v>
      </c>
      <c r="P811" s="516">
        <f t="shared" si="78"/>
        <v>0</v>
      </c>
      <c r="Q811" s="479"/>
    </row>
    <row r="812" spans="3:17">
      <c r="C812" s="512">
        <f>IF(D792="","-",+C811+1)</f>
        <v>2031</v>
      </c>
      <c r="D812" s="477">
        <f t="shared" si="79"/>
        <v>407077.21114035056</v>
      </c>
      <c r="E812" s="519">
        <f t="shared" si="80"/>
        <v>16672.104210526315</v>
      </c>
      <c r="F812" s="519">
        <f t="shared" si="73"/>
        <v>390405.10692982422</v>
      </c>
      <c r="G812" s="477">
        <f t="shared" si="74"/>
        <v>398741.15903508739</v>
      </c>
      <c r="H812" s="513">
        <f>+J793*G812+E812</f>
        <v>60967.74950325978</v>
      </c>
      <c r="I812" s="520">
        <f>+J794*G812+E812</f>
        <v>60967.74950325978</v>
      </c>
      <c r="J812" s="516">
        <f t="shared" si="75"/>
        <v>0</v>
      </c>
      <c r="K812" s="516"/>
      <c r="L812" s="521"/>
      <c r="M812" s="516">
        <f t="shared" si="76"/>
        <v>0</v>
      </c>
      <c r="N812" s="521"/>
      <c r="O812" s="516">
        <f t="shared" si="77"/>
        <v>0</v>
      </c>
      <c r="P812" s="516">
        <f t="shared" si="78"/>
        <v>0</v>
      </c>
      <c r="Q812" s="479"/>
    </row>
    <row r="813" spans="3:17">
      <c r="C813" s="512">
        <f>IF(D792="","-",+C812+1)</f>
        <v>2032</v>
      </c>
      <c r="D813" s="477">
        <f t="shared" si="79"/>
        <v>390405.10692982422</v>
      </c>
      <c r="E813" s="519">
        <f t="shared" si="80"/>
        <v>16672.104210526315</v>
      </c>
      <c r="F813" s="519">
        <f t="shared" si="73"/>
        <v>373733.00271929789</v>
      </c>
      <c r="G813" s="477">
        <f t="shared" si="74"/>
        <v>382069.05482456106</v>
      </c>
      <c r="H813" s="513">
        <f>+J793*G813+E813</f>
        <v>59115.666773250006</v>
      </c>
      <c r="I813" s="520">
        <f>+J794*G813+E813</f>
        <v>59115.666773250006</v>
      </c>
      <c r="J813" s="516">
        <f t="shared" si="75"/>
        <v>0</v>
      </c>
      <c r="K813" s="516"/>
      <c r="L813" s="521"/>
      <c r="M813" s="516">
        <f t="shared" si="76"/>
        <v>0</v>
      </c>
      <c r="N813" s="521"/>
      <c r="O813" s="516">
        <f t="shared" si="77"/>
        <v>0</v>
      </c>
      <c r="P813" s="516">
        <f t="shared" si="78"/>
        <v>0</v>
      </c>
      <c r="Q813" s="479"/>
    </row>
    <row r="814" spans="3:17">
      <c r="C814" s="512">
        <f>IF(D792="","-",+C813+1)</f>
        <v>2033</v>
      </c>
      <c r="D814" s="477">
        <f t="shared" si="79"/>
        <v>373733.00271929789</v>
      </c>
      <c r="E814" s="519">
        <f t="shared" si="80"/>
        <v>16672.104210526315</v>
      </c>
      <c r="F814" s="519">
        <f t="shared" si="73"/>
        <v>357060.89850877156</v>
      </c>
      <c r="G814" s="477">
        <f t="shared" si="74"/>
        <v>365396.95061403472</v>
      </c>
      <c r="H814" s="513">
        <f>+J793*G814+E814</f>
        <v>57263.584043240247</v>
      </c>
      <c r="I814" s="520">
        <f>+J794*G814+E814</f>
        <v>57263.584043240247</v>
      </c>
      <c r="J814" s="516">
        <f t="shared" si="75"/>
        <v>0</v>
      </c>
      <c r="K814" s="516"/>
      <c r="L814" s="521"/>
      <c r="M814" s="516">
        <f t="shared" si="76"/>
        <v>0</v>
      </c>
      <c r="N814" s="521"/>
      <c r="O814" s="516">
        <f t="shared" si="77"/>
        <v>0</v>
      </c>
      <c r="P814" s="516">
        <f t="shared" si="78"/>
        <v>0</v>
      </c>
      <c r="Q814" s="479"/>
    </row>
    <row r="815" spans="3:17">
      <c r="C815" s="512">
        <f>IF(D792="","-",+C814+1)</f>
        <v>2034</v>
      </c>
      <c r="D815" s="477">
        <f t="shared" si="79"/>
        <v>357060.89850877156</v>
      </c>
      <c r="E815" s="519">
        <f t="shared" si="80"/>
        <v>16672.104210526315</v>
      </c>
      <c r="F815" s="519">
        <f t="shared" si="73"/>
        <v>340388.79429824522</v>
      </c>
      <c r="G815" s="477">
        <f t="shared" si="74"/>
        <v>348724.84640350839</v>
      </c>
      <c r="H815" s="513">
        <f>+J793*G815+E815</f>
        <v>55411.501313230474</v>
      </c>
      <c r="I815" s="520">
        <f>+J794*G815+E815</f>
        <v>55411.501313230474</v>
      </c>
      <c r="J815" s="516">
        <f t="shared" si="75"/>
        <v>0</v>
      </c>
      <c r="K815" s="516"/>
      <c r="L815" s="521"/>
      <c r="M815" s="516">
        <f t="shared" si="76"/>
        <v>0</v>
      </c>
      <c r="N815" s="521"/>
      <c r="O815" s="516">
        <f t="shared" si="77"/>
        <v>0</v>
      </c>
      <c r="P815" s="516">
        <f t="shared" si="78"/>
        <v>0</v>
      </c>
      <c r="Q815" s="479"/>
    </row>
    <row r="816" spans="3:17">
      <c r="C816" s="512">
        <f>IF(D792="","-",+C815+1)</f>
        <v>2035</v>
      </c>
      <c r="D816" s="477">
        <f t="shared" si="79"/>
        <v>340388.79429824522</v>
      </c>
      <c r="E816" s="519">
        <f t="shared" si="80"/>
        <v>16672.104210526315</v>
      </c>
      <c r="F816" s="519">
        <f t="shared" si="73"/>
        <v>323716.69008771889</v>
      </c>
      <c r="G816" s="477">
        <f t="shared" si="74"/>
        <v>332052.74219298206</v>
      </c>
      <c r="H816" s="513">
        <f>+J793*G816+E816</f>
        <v>53559.418583220715</v>
      </c>
      <c r="I816" s="520">
        <f>+J794*G816+E816</f>
        <v>53559.418583220715</v>
      </c>
      <c r="J816" s="516">
        <f t="shared" si="75"/>
        <v>0</v>
      </c>
      <c r="K816" s="516"/>
      <c r="L816" s="521"/>
      <c r="M816" s="516">
        <f t="shared" si="76"/>
        <v>0</v>
      </c>
      <c r="N816" s="521"/>
      <c r="O816" s="516">
        <f t="shared" si="77"/>
        <v>0</v>
      </c>
      <c r="P816" s="516">
        <f t="shared" si="78"/>
        <v>0</v>
      </c>
      <c r="Q816" s="479"/>
    </row>
    <row r="817" spans="3:17">
      <c r="C817" s="512">
        <f>IF(D792="","-",+C816+1)</f>
        <v>2036</v>
      </c>
      <c r="D817" s="477">
        <f t="shared" si="79"/>
        <v>323716.69008771889</v>
      </c>
      <c r="E817" s="519">
        <f t="shared" si="80"/>
        <v>16672.104210526315</v>
      </c>
      <c r="F817" s="519">
        <f t="shared" si="73"/>
        <v>307044.58587719256</v>
      </c>
      <c r="G817" s="477">
        <f t="shared" si="74"/>
        <v>315380.63798245572</v>
      </c>
      <c r="H817" s="513">
        <f>+J793*G817+E817</f>
        <v>51707.335853210956</v>
      </c>
      <c r="I817" s="520">
        <f>+J794*G817+E817</f>
        <v>51707.335853210956</v>
      </c>
      <c r="J817" s="516">
        <f t="shared" si="75"/>
        <v>0</v>
      </c>
      <c r="K817" s="516"/>
      <c r="L817" s="521"/>
      <c r="M817" s="516">
        <f t="shared" si="76"/>
        <v>0</v>
      </c>
      <c r="N817" s="521"/>
      <c r="O817" s="516">
        <f t="shared" si="77"/>
        <v>0</v>
      </c>
      <c r="P817" s="516">
        <f t="shared" si="78"/>
        <v>0</v>
      </c>
      <c r="Q817" s="479"/>
    </row>
    <row r="818" spans="3:17">
      <c r="C818" s="512">
        <f>IF(D792="","-",+C817+1)</f>
        <v>2037</v>
      </c>
      <c r="D818" s="477">
        <f t="shared" si="79"/>
        <v>307044.58587719256</v>
      </c>
      <c r="E818" s="519">
        <f t="shared" si="80"/>
        <v>16672.104210526315</v>
      </c>
      <c r="F818" s="519">
        <f t="shared" si="73"/>
        <v>290372.48166666622</v>
      </c>
      <c r="G818" s="477">
        <f t="shared" si="74"/>
        <v>298708.53377192939</v>
      </c>
      <c r="H818" s="513">
        <f>+J793*G818+E818</f>
        <v>49855.253123201182</v>
      </c>
      <c r="I818" s="520">
        <f>+J794*G818+E818</f>
        <v>49855.253123201182</v>
      </c>
      <c r="J818" s="516">
        <f t="shared" si="75"/>
        <v>0</v>
      </c>
      <c r="K818" s="516"/>
      <c r="L818" s="521"/>
      <c r="M818" s="516">
        <f t="shared" si="76"/>
        <v>0</v>
      </c>
      <c r="N818" s="521"/>
      <c r="O818" s="516">
        <f t="shared" si="77"/>
        <v>0</v>
      </c>
      <c r="P818" s="516">
        <f t="shared" si="78"/>
        <v>0</v>
      </c>
      <c r="Q818" s="479"/>
    </row>
    <row r="819" spans="3:17">
      <c r="C819" s="512">
        <f>IF(D792="","-",+C818+1)</f>
        <v>2038</v>
      </c>
      <c r="D819" s="477">
        <f t="shared" si="79"/>
        <v>290372.48166666622</v>
      </c>
      <c r="E819" s="519">
        <f t="shared" si="80"/>
        <v>16672.104210526315</v>
      </c>
      <c r="F819" s="519">
        <f t="shared" si="73"/>
        <v>273700.37745613989</v>
      </c>
      <c r="G819" s="477">
        <f t="shared" si="74"/>
        <v>282036.42956140306</v>
      </c>
      <c r="H819" s="513">
        <f>+J793*G819+E819</f>
        <v>48003.170393191423</v>
      </c>
      <c r="I819" s="520">
        <f>+J794*G819+E819</f>
        <v>48003.170393191423</v>
      </c>
      <c r="J819" s="516">
        <f t="shared" si="75"/>
        <v>0</v>
      </c>
      <c r="K819" s="516"/>
      <c r="L819" s="521"/>
      <c r="M819" s="516">
        <f t="shared" si="76"/>
        <v>0</v>
      </c>
      <c r="N819" s="521"/>
      <c r="O819" s="516">
        <f t="shared" si="77"/>
        <v>0</v>
      </c>
      <c r="P819" s="516">
        <f t="shared" si="78"/>
        <v>0</v>
      </c>
      <c r="Q819" s="479"/>
    </row>
    <row r="820" spans="3:17">
      <c r="C820" s="512">
        <f>IF(D792="","-",+C819+1)</f>
        <v>2039</v>
      </c>
      <c r="D820" s="477">
        <f t="shared" si="79"/>
        <v>273700.37745613989</v>
      </c>
      <c r="E820" s="519">
        <f t="shared" si="80"/>
        <v>16672.104210526315</v>
      </c>
      <c r="F820" s="519">
        <f t="shared" si="73"/>
        <v>257028.27324561359</v>
      </c>
      <c r="G820" s="477">
        <f t="shared" si="74"/>
        <v>265364.32535087672</v>
      </c>
      <c r="H820" s="513">
        <f>+J793*G820+E820</f>
        <v>46151.087663181657</v>
      </c>
      <c r="I820" s="520">
        <f>+J794*G820+E820</f>
        <v>46151.087663181657</v>
      </c>
      <c r="J820" s="516">
        <f t="shared" si="75"/>
        <v>0</v>
      </c>
      <c r="K820" s="516"/>
      <c r="L820" s="521"/>
      <c r="M820" s="516">
        <f t="shared" si="76"/>
        <v>0</v>
      </c>
      <c r="N820" s="521"/>
      <c r="O820" s="516">
        <f t="shared" si="77"/>
        <v>0</v>
      </c>
      <c r="P820" s="516">
        <f t="shared" si="78"/>
        <v>0</v>
      </c>
      <c r="Q820" s="479"/>
    </row>
    <row r="821" spans="3:17">
      <c r="C821" s="512">
        <f>IF(D792="","-",+C820+1)</f>
        <v>2040</v>
      </c>
      <c r="D821" s="477">
        <f t="shared" si="79"/>
        <v>257028.27324561359</v>
      </c>
      <c r="E821" s="519">
        <f t="shared" si="80"/>
        <v>16672.104210526315</v>
      </c>
      <c r="F821" s="519">
        <f t="shared" si="73"/>
        <v>240356.16903508728</v>
      </c>
      <c r="G821" s="477">
        <f t="shared" si="74"/>
        <v>248692.22114035045</v>
      </c>
      <c r="H821" s="513">
        <f>+J793*G821+E821</f>
        <v>44299.004933171898</v>
      </c>
      <c r="I821" s="520">
        <f>+J794*G821+E821</f>
        <v>44299.004933171898</v>
      </c>
      <c r="J821" s="516">
        <f t="shared" si="75"/>
        <v>0</v>
      </c>
      <c r="K821" s="516"/>
      <c r="L821" s="521"/>
      <c r="M821" s="516">
        <f t="shared" si="76"/>
        <v>0</v>
      </c>
      <c r="N821" s="521"/>
      <c r="O821" s="516">
        <f t="shared" si="77"/>
        <v>0</v>
      </c>
      <c r="P821" s="516">
        <f t="shared" si="78"/>
        <v>0</v>
      </c>
      <c r="Q821" s="479"/>
    </row>
    <row r="822" spans="3:17">
      <c r="C822" s="512">
        <f>IF(D792="","-",+C821+1)</f>
        <v>2041</v>
      </c>
      <c r="D822" s="477">
        <f t="shared" si="79"/>
        <v>240356.16903508728</v>
      </c>
      <c r="E822" s="519">
        <f t="shared" si="80"/>
        <v>16672.104210526315</v>
      </c>
      <c r="F822" s="519">
        <f t="shared" si="73"/>
        <v>223684.06482456098</v>
      </c>
      <c r="G822" s="477">
        <f t="shared" si="74"/>
        <v>232020.11692982411</v>
      </c>
      <c r="H822" s="513">
        <f>+J793*G822+E822</f>
        <v>42446.922203162132</v>
      </c>
      <c r="I822" s="520">
        <f>+J794*G822+E822</f>
        <v>42446.922203162132</v>
      </c>
      <c r="J822" s="516">
        <f t="shared" si="75"/>
        <v>0</v>
      </c>
      <c r="K822" s="516"/>
      <c r="L822" s="521"/>
      <c r="M822" s="516">
        <f t="shared" si="76"/>
        <v>0</v>
      </c>
      <c r="N822" s="521"/>
      <c r="O822" s="516">
        <f t="shared" si="77"/>
        <v>0</v>
      </c>
      <c r="P822" s="516">
        <f t="shared" si="78"/>
        <v>0</v>
      </c>
      <c r="Q822" s="479"/>
    </row>
    <row r="823" spans="3:17">
      <c r="C823" s="512">
        <f>IF(D792="","-",+C822+1)</f>
        <v>2042</v>
      </c>
      <c r="D823" s="477">
        <f t="shared" si="79"/>
        <v>223684.06482456098</v>
      </c>
      <c r="E823" s="519">
        <f t="shared" si="80"/>
        <v>16672.104210526315</v>
      </c>
      <c r="F823" s="519">
        <f t="shared" si="73"/>
        <v>207011.96061403467</v>
      </c>
      <c r="G823" s="477">
        <f t="shared" si="74"/>
        <v>215348.01271929784</v>
      </c>
      <c r="H823" s="513">
        <f>+J793*G823+E823</f>
        <v>40594.839473152373</v>
      </c>
      <c r="I823" s="520">
        <f>+J794*G823+E823</f>
        <v>40594.839473152373</v>
      </c>
      <c r="J823" s="516">
        <f t="shared" si="75"/>
        <v>0</v>
      </c>
      <c r="K823" s="516"/>
      <c r="L823" s="521"/>
      <c r="M823" s="516">
        <f t="shared" si="76"/>
        <v>0</v>
      </c>
      <c r="N823" s="521"/>
      <c r="O823" s="516">
        <f t="shared" si="77"/>
        <v>0</v>
      </c>
      <c r="P823" s="516">
        <f t="shared" si="78"/>
        <v>0</v>
      </c>
      <c r="Q823" s="479"/>
    </row>
    <row r="824" spans="3:17">
      <c r="C824" s="512">
        <f>IF(D792="","-",+C823+1)</f>
        <v>2043</v>
      </c>
      <c r="D824" s="477">
        <f t="shared" si="79"/>
        <v>207011.96061403467</v>
      </c>
      <c r="E824" s="519">
        <f t="shared" si="80"/>
        <v>16672.104210526315</v>
      </c>
      <c r="F824" s="519">
        <f t="shared" si="73"/>
        <v>190339.85640350837</v>
      </c>
      <c r="G824" s="477">
        <f t="shared" si="74"/>
        <v>198675.90850877151</v>
      </c>
      <c r="H824" s="513">
        <f>+J793*G824+E824</f>
        <v>38742.756743142614</v>
      </c>
      <c r="I824" s="520">
        <f>+J794*G824+E824</f>
        <v>38742.756743142614</v>
      </c>
      <c r="J824" s="516">
        <f t="shared" si="75"/>
        <v>0</v>
      </c>
      <c r="K824" s="516"/>
      <c r="L824" s="521"/>
      <c r="M824" s="516">
        <f t="shared" si="76"/>
        <v>0</v>
      </c>
      <c r="N824" s="521"/>
      <c r="O824" s="516">
        <f t="shared" si="77"/>
        <v>0</v>
      </c>
      <c r="P824" s="516">
        <f t="shared" si="78"/>
        <v>0</v>
      </c>
      <c r="Q824" s="479"/>
    </row>
    <row r="825" spans="3:17">
      <c r="C825" s="512">
        <f>IF(D792="","-",+C824+1)</f>
        <v>2044</v>
      </c>
      <c r="D825" s="477">
        <f t="shared" si="79"/>
        <v>190339.85640350837</v>
      </c>
      <c r="E825" s="519">
        <f t="shared" si="80"/>
        <v>16672.104210526315</v>
      </c>
      <c r="F825" s="519">
        <f t="shared" si="73"/>
        <v>173667.75219298207</v>
      </c>
      <c r="G825" s="477">
        <f t="shared" si="74"/>
        <v>182003.80429824523</v>
      </c>
      <c r="H825" s="513">
        <f>+J793*G825+E825</f>
        <v>36890.674013132855</v>
      </c>
      <c r="I825" s="520">
        <f>+J794*G825+E825</f>
        <v>36890.674013132855</v>
      </c>
      <c r="J825" s="516">
        <f t="shared" si="75"/>
        <v>0</v>
      </c>
      <c r="K825" s="516"/>
      <c r="L825" s="521"/>
      <c r="M825" s="516">
        <f t="shared" si="76"/>
        <v>0</v>
      </c>
      <c r="N825" s="521"/>
      <c r="O825" s="516">
        <f t="shared" si="77"/>
        <v>0</v>
      </c>
      <c r="P825" s="516">
        <f t="shared" si="78"/>
        <v>0</v>
      </c>
      <c r="Q825" s="479"/>
    </row>
    <row r="826" spans="3:17">
      <c r="C826" s="512">
        <f>IF(D792="","-",+C825+1)</f>
        <v>2045</v>
      </c>
      <c r="D826" s="477">
        <f t="shared" si="79"/>
        <v>173667.75219298207</v>
      </c>
      <c r="E826" s="519">
        <f t="shared" si="80"/>
        <v>16672.104210526315</v>
      </c>
      <c r="F826" s="519">
        <f t="shared" si="73"/>
        <v>156995.64798245576</v>
      </c>
      <c r="G826" s="477">
        <f t="shared" si="74"/>
        <v>165331.7000877189</v>
      </c>
      <c r="H826" s="513">
        <f>+J793*G826+E826</f>
        <v>35038.591283123082</v>
      </c>
      <c r="I826" s="520">
        <f>+J794*G826+E826</f>
        <v>35038.591283123082</v>
      </c>
      <c r="J826" s="516">
        <f t="shared" si="75"/>
        <v>0</v>
      </c>
      <c r="K826" s="516"/>
      <c r="L826" s="521"/>
      <c r="M826" s="516">
        <f t="shared" si="76"/>
        <v>0</v>
      </c>
      <c r="N826" s="521"/>
      <c r="O826" s="516">
        <f t="shared" si="77"/>
        <v>0</v>
      </c>
      <c r="P826" s="516">
        <f t="shared" si="78"/>
        <v>0</v>
      </c>
      <c r="Q826" s="479"/>
    </row>
    <row r="827" spans="3:17">
      <c r="C827" s="512">
        <f>IF(D792="","-",+C826+1)</f>
        <v>2046</v>
      </c>
      <c r="D827" s="477">
        <f t="shared" si="79"/>
        <v>156995.64798245576</v>
      </c>
      <c r="E827" s="519">
        <f t="shared" si="80"/>
        <v>16672.104210526315</v>
      </c>
      <c r="F827" s="519">
        <f t="shared" si="73"/>
        <v>140323.54377192946</v>
      </c>
      <c r="G827" s="477">
        <f t="shared" si="74"/>
        <v>148659.59587719262</v>
      </c>
      <c r="H827" s="513">
        <f>+J793*G827+E827</f>
        <v>33186.508553113323</v>
      </c>
      <c r="I827" s="520">
        <f>+J794*G827+E827</f>
        <v>33186.508553113323</v>
      </c>
      <c r="J827" s="516">
        <f t="shared" si="75"/>
        <v>0</v>
      </c>
      <c r="K827" s="516"/>
      <c r="L827" s="521"/>
      <c r="M827" s="516">
        <f t="shared" si="76"/>
        <v>0</v>
      </c>
      <c r="N827" s="521"/>
      <c r="O827" s="516">
        <f t="shared" si="77"/>
        <v>0</v>
      </c>
      <c r="P827" s="516">
        <f t="shared" si="78"/>
        <v>0</v>
      </c>
      <c r="Q827" s="479"/>
    </row>
    <row r="828" spans="3:17">
      <c r="C828" s="512">
        <f>IF(D792="","-",+C827+1)</f>
        <v>2047</v>
      </c>
      <c r="D828" s="477">
        <f t="shared" si="79"/>
        <v>140323.54377192946</v>
      </c>
      <c r="E828" s="519">
        <f t="shared" si="80"/>
        <v>16672.104210526315</v>
      </c>
      <c r="F828" s="519">
        <f t="shared" si="73"/>
        <v>123651.43956140314</v>
      </c>
      <c r="G828" s="477">
        <f t="shared" si="74"/>
        <v>131987.49166666629</v>
      </c>
      <c r="H828" s="513">
        <f>+J793*G828+E828</f>
        <v>31334.425823103564</v>
      </c>
      <c r="I828" s="520">
        <f>+J794*G828+E828</f>
        <v>31334.425823103564</v>
      </c>
      <c r="J828" s="516">
        <f t="shared" si="75"/>
        <v>0</v>
      </c>
      <c r="K828" s="516"/>
      <c r="L828" s="521"/>
      <c r="M828" s="516">
        <f t="shared" si="76"/>
        <v>0</v>
      </c>
      <c r="N828" s="521"/>
      <c r="O828" s="516">
        <f t="shared" si="77"/>
        <v>0</v>
      </c>
      <c r="P828" s="516">
        <f t="shared" si="78"/>
        <v>0</v>
      </c>
      <c r="Q828" s="479"/>
    </row>
    <row r="829" spans="3:17">
      <c r="C829" s="512">
        <f>IF(D792="","-",+C828+1)</f>
        <v>2048</v>
      </c>
      <c r="D829" s="477">
        <f t="shared" si="79"/>
        <v>123651.43956140314</v>
      </c>
      <c r="E829" s="519">
        <f t="shared" si="80"/>
        <v>16672.104210526315</v>
      </c>
      <c r="F829" s="519">
        <f t="shared" si="73"/>
        <v>106979.33535087682</v>
      </c>
      <c r="G829" s="477">
        <f t="shared" si="74"/>
        <v>115315.38745613999</v>
      </c>
      <c r="H829" s="513">
        <f>+J793*G829+E829</f>
        <v>29482.343093093801</v>
      </c>
      <c r="I829" s="520">
        <f>+J794*G829+E829</f>
        <v>29482.343093093801</v>
      </c>
      <c r="J829" s="516">
        <f t="shared" si="75"/>
        <v>0</v>
      </c>
      <c r="K829" s="516"/>
      <c r="L829" s="521"/>
      <c r="M829" s="516">
        <f t="shared" si="76"/>
        <v>0</v>
      </c>
      <c r="N829" s="521"/>
      <c r="O829" s="516">
        <f t="shared" si="77"/>
        <v>0</v>
      </c>
      <c r="P829" s="516">
        <f t="shared" si="78"/>
        <v>0</v>
      </c>
      <c r="Q829" s="479"/>
    </row>
    <row r="830" spans="3:17">
      <c r="C830" s="512">
        <f>IF(D792="","-",+C829+1)</f>
        <v>2049</v>
      </c>
      <c r="D830" s="477">
        <f t="shared" si="79"/>
        <v>106979.33535087682</v>
      </c>
      <c r="E830" s="519">
        <f t="shared" si="80"/>
        <v>16672.104210526315</v>
      </c>
      <c r="F830" s="519">
        <f t="shared" si="73"/>
        <v>90307.231140350501</v>
      </c>
      <c r="G830" s="477">
        <f t="shared" si="74"/>
        <v>98643.283245613653</v>
      </c>
      <c r="H830" s="513">
        <f>+J793*G830+E830</f>
        <v>27630.260363084039</v>
      </c>
      <c r="I830" s="520">
        <f>+J794*G830+E830</f>
        <v>27630.260363084039</v>
      </c>
      <c r="J830" s="516">
        <f t="shared" si="75"/>
        <v>0</v>
      </c>
      <c r="K830" s="516"/>
      <c r="L830" s="521"/>
      <c r="M830" s="516">
        <f t="shared" si="76"/>
        <v>0</v>
      </c>
      <c r="N830" s="521"/>
      <c r="O830" s="516">
        <f t="shared" si="77"/>
        <v>0</v>
      </c>
      <c r="P830" s="516">
        <f t="shared" si="78"/>
        <v>0</v>
      </c>
      <c r="Q830" s="479"/>
    </row>
    <row r="831" spans="3:17">
      <c r="C831" s="512">
        <f>IF(D792="","-",+C830+1)</f>
        <v>2050</v>
      </c>
      <c r="D831" s="477">
        <f t="shared" si="79"/>
        <v>90307.231140350501</v>
      </c>
      <c r="E831" s="519">
        <f t="shared" si="80"/>
        <v>16672.104210526315</v>
      </c>
      <c r="F831" s="519">
        <f t="shared" si="73"/>
        <v>73635.126929824182</v>
      </c>
      <c r="G831" s="477">
        <f t="shared" si="74"/>
        <v>81971.179035087349</v>
      </c>
      <c r="H831" s="513">
        <f>+J793*G831+E831</f>
        <v>25778.177633074276</v>
      </c>
      <c r="I831" s="520">
        <f>+J794*G831+E831</f>
        <v>25778.177633074276</v>
      </c>
      <c r="J831" s="516">
        <f t="shared" si="75"/>
        <v>0</v>
      </c>
      <c r="K831" s="516"/>
      <c r="L831" s="521"/>
      <c r="M831" s="516">
        <f t="shared" si="76"/>
        <v>0</v>
      </c>
      <c r="N831" s="521"/>
      <c r="O831" s="516">
        <f t="shared" si="77"/>
        <v>0</v>
      </c>
      <c r="P831" s="516">
        <f t="shared" si="78"/>
        <v>0</v>
      </c>
      <c r="Q831" s="479"/>
    </row>
    <row r="832" spans="3:17">
      <c r="C832" s="512">
        <f>IF(D792="","-",+C831+1)</f>
        <v>2051</v>
      </c>
      <c r="D832" s="477">
        <f t="shared" si="79"/>
        <v>73635.126929824182</v>
      </c>
      <c r="E832" s="519">
        <f t="shared" si="80"/>
        <v>16672.104210526315</v>
      </c>
      <c r="F832" s="519">
        <f t="shared" si="73"/>
        <v>56963.022719297864</v>
      </c>
      <c r="G832" s="477">
        <f t="shared" si="74"/>
        <v>65299.074824561023</v>
      </c>
      <c r="H832" s="513">
        <f>+J793*G832+E832</f>
        <v>23926.09490306451</v>
      </c>
      <c r="I832" s="520">
        <f>+J794*G832+E832</f>
        <v>23926.09490306451</v>
      </c>
      <c r="J832" s="516">
        <f t="shared" si="75"/>
        <v>0</v>
      </c>
      <c r="K832" s="516"/>
      <c r="L832" s="521"/>
      <c r="M832" s="516">
        <f t="shared" si="76"/>
        <v>0</v>
      </c>
      <c r="N832" s="521"/>
      <c r="O832" s="516">
        <f t="shared" si="77"/>
        <v>0</v>
      </c>
      <c r="P832" s="516">
        <f t="shared" si="78"/>
        <v>0</v>
      </c>
      <c r="Q832" s="479"/>
    </row>
    <row r="833" spans="3:17">
      <c r="C833" s="512">
        <f>IF(D792="","-",+C832+1)</f>
        <v>2052</v>
      </c>
      <c r="D833" s="477">
        <f t="shared" si="79"/>
        <v>56963.022719297864</v>
      </c>
      <c r="E833" s="519">
        <f t="shared" si="80"/>
        <v>16672.104210526315</v>
      </c>
      <c r="F833" s="519">
        <f t="shared" si="73"/>
        <v>40290.918508771545</v>
      </c>
      <c r="G833" s="477">
        <f t="shared" si="74"/>
        <v>48626.970614034704</v>
      </c>
      <c r="H833" s="513">
        <f>+J793*G833+E833</f>
        <v>22074.012173054747</v>
      </c>
      <c r="I833" s="520">
        <f>+J794*G833+E833</f>
        <v>22074.012173054747</v>
      </c>
      <c r="J833" s="516">
        <f t="shared" si="75"/>
        <v>0</v>
      </c>
      <c r="K833" s="516"/>
      <c r="L833" s="521"/>
      <c r="M833" s="516">
        <f t="shared" si="76"/>
        <v>0</v>
      </c>
      <c r="N833" s="521"/>
      <c r="O833" s="516">
        <f t="shared" si="77"/>
        <v>0</v>
      </c>
      <c r="P833" s="516">
        <f t="shared" si="78"/>
        <v>0</v>
      </c>
      <c r="Q833" s="479"/>
    </row>
    <row r="834" spans="3:17">
      <c r="C834" s="512">
        <f>IF(D792="","-",+C833+1)</f>
        <v>2053</v>
      </c>
      <c r="D834" s="477">
        <f t="shared" si="79"/>
        <v>40290.918508771545</v>
      </c>
      <c r="E834" s="519">
        <f t="shared" si="80"/>
        <v>16672.104210526315</v>
      </c>
      <c r="F834" s="519">
        <f t="shared" si="73"/>
        <v>23618.81429824523</v>
      </c>
      <c r="G834" s="477">
        <f t="shared" si="74"/>
        <v>31954.866403508386</v>
      </c>
      <c r="H834" s="513">
        <f>+J793*G834+E834</f>
        <v>20221.929443044985</v>
      </c>
      <c r="I834" s="520">
        <f>+J794*G834+E834</f>
        <v>20221.929443044985</v>
      </c>
      <c r="J834" s="516">
        <f t="shared" si="75"/>
        <v>0</v>
      </c>
      <c r="K834" s="516"/>
      <c r="L834" s="521"/>
      <c r="M834" s="516">
        <f t="shared" si="76"/>
        <v>0</v>
      </c>
      <c r="N834" s="521"/>
      <c r="O834" s="516">
        <f t="shared" si="77"/>
        <v>0</v>
      </c>
      <c r="P834" s="516">
        <f t="shared" si="78"/>
        <v>0</v>
      </c>
      <c r="Q834" s="479"/>
    </row>
    <row r="835" spans="3:17">
      <c r="C835" s="512">
        <f>IF(D792="","-",+C834+1)</f>
        <v>2054</v>
      </c>
      <c r="D835" s="477">
        <f t="shared" si="79"/>
        <v>23618.81429824523</v>
      </c>
      <c r="E835" s="519">
        <f t="shared" si="80"/>
        <v>16672.104210526315</v>
      </c>
      <c r="F835" s="519">
        <f t="shared" si="73"/>
        <v>6946.710087718915</v>
      </c>
      <c r="G835" s="477">
        <f t="shared" si="74"/>
        <v>15282.762192982073</v>
      </c>
      <c r="H835" s="513">
        <f>+J793*G835+E835</f>
        <v>18369.846713035222</v>
      </c>
      <c r="I835" s="520">
        <f>+J794*G835+E835</f>
        <v>18369.846713035222</v>
      </c>
      <c r="J835" s="516">
        <f t="shared" si="75"/>
        <v>0</v>
      </c>
      <c r="K835" s="516"/>
      <c r="L835" s="521"/>
      <c r="M835" s="516">
        <f t="shared" si="76"/>
        <v>0</v>
      </c>
      <c r="N835" s="521"/>
      <c r="O835" s="516">
        <f t="shared" si="77"/>
        <v>0</v>
      </c>
      <c r="P835" s="516">
        <f t="shared" si="78"/>
        <v>0</v>
      </c>
      <c r="Q835" s="479"/>
    </row>
    <row r="836" spans="3:17">
      <c r="C836" s="512">
        <f>IF(D792="","-",+C835+1)</f>
        <v>2055</v>
      </c>
      <c r="D836" s="477">
        <f t="shared" si="79"/>
        <v>6946.710087718915</v>
      </c>
      <c r="E836" s="519">
        <f t="shared" si="80"/>
        <v>6946.710087718915</v>
      </c>
      <c r="F836" s="519">
        <f t="shared" si="73"/>
        <v>0</v>
      </c>
      <c r="G836" s="477">
        <f t="shared" si="74"/>
        <v>3473.3550438594575</v>
      </c>
      <c r="H836" s="513">
        <f>+J793*G836+E836</f>
        <v>7332.5606564709278</v>
      </c>
      <c r="I836" s="520">
        <f>+J794*G836+E836</f>
        <v>7332.5606564709278</v>
      </c>
      <c r="J836" s="516">
        <f t="shared" si="75"/>
        <v>0</v>
      </c>
      <c r="K836" s="516"/>
      <c r="L836" s="521"/>
      <c r="M836" s="516">
        <f t="shared" si="76"/>
        <v>0</v>
      </c>
      <c r="N836" s="521"/>
      <c r="O836" s="516">
        <f t="shared" si="77"/>
        <v>0</v>
      </c>
      <c r="P836" s="516">
        <f t="shared" si="78"/>
        <v>0</v>
      </c>
      <c r="Q836" s="479"/>
    </row>
    <row r="837" spans="3:17">
      <c r="C837" s="512">
        <f>IF(D792="","-",+C836+1)</f>
        <v>2056</v>
      </c>
      <c r="D837" s="477">
        <f t="shared" si="79"/>
        <v>0</v>
      </c>
      <c r="E837" s="519">
        <f t="shared" si="80"/>
        <v>0</v>
      </c>
      <c r="F837" s="519">
        <f t="shared" si="73"/>
        <v>0</v>
      </c>
      <c r="G837" s="477">
        <f t="shared" si="74"/>
        <v>0</v>
      </c>
      <c r="H837" s="513">
        <f>+J793*G837+E837</f>
        <v>0</v>
      </c>
      <c r="I837" s="520">
        <f>+J794*G837+E837</f>
        <v>0</v>
      </c>
      <c r="J837" s="516">
        <f t="shared" si="75"/>
        <v>0</v>
      </c>
      <c r="K837" s="516"/>
      <c r="L837" s="521"/>
      <c r="M837" s="516">
        <f t="shared" si="76"/>
        <v>0</v>
      </c>
      <c r="N837" s="521"/>
      <c r="O837" s="516">
        <f t="shared" si="77"/>
        <v>0</v>
      </c>
      <c r="P837" s="516">
        <f t="shared" si="78"/>
        <v>0</v>
      </c>
      <c r="Q837" s="479"/>
    </row>
    <row r="838" spans="3:17">
      <c r="C838" s="512">
        <f>IF(D792="","-",+C837+1)</f>
        <v>2057</v>
      </c>
      <c r="D838" s="477">
        <f t="shared" si="79"/>
        <v>0</v>
      </c>
      <c r="E838" s="519">
        <f t="shared" si="80"/>
        <v>0</v>
      </c>
      <c r="F838" s="519">
        <f t="shared" si="73"/>
        <v>0</v>
      </c>
      <c r="G838" s="477">
        <f t="shared" si="74"/>
        <v>0</v>
      </c>
      <c r="H838" s="513">
        <f>+J793*G838+E838</f>
        <v>0</v>
      </c>
      <c r="I838" s="520">
        <f>+J794*G838+E838</f>
        <v>0</v>
      </c>
      <c r="J838" s="516">
        <f t="shared" si="75"/>
        <v>0</v>
      </c>
      <c r="K838" s="516"/>
      <c r="L838" s="521"/>
      <c r="M838" s="516">
        <f t="shared" si="76"/>
        <v>0</v>
      </c>
      <c r="N838" s="521"/>
      <c r="O838" s="516">
        <f t="shared" si="77"/>
        <v>0</v>
      </c>
      <c r="P838" s="516">
        <f t="shared" si="78"/>
        <v>0</v>
      </c>
      <c r="Q838" s="479"/>
    </row>
    <row r="839" spans="3:17">
      <c r="C839" s="512">
        <f>IF(D792="","-",+C838+1)</f>
        <v>2058</v>
      </c>
      <c r="D839" s="477">
        <f t="shared" si="79"/>
        <v>0</v>
      </c>
      <c r="E839" s="519">
        <f t="shared" si="80"/>
        <v>0</v>
      </c>
      <c r="F839" s="519">
        <f t="shared" si="73"/>
        <v>0</v>
      </c>
      <c r="G839" s="477">
        <f t="shared" si="74"/>
        <v>0</v>
      </c>
      <c r="H839" s="513">
        <f>+J793*G839+E839</f>
        <v>0</v>
      </c>
      <c r="I839" s="520">
        <f>+J794*G839+E839</f>
        <v>0</v>
      </c>
      <c r="J839" s="516">
        <f t="shared" si="75"/>
        <v>0</v>
      </c>
      <c r="K839" s="516"/>
      <c r="L839" s="521"/>
      <c r="M839" s="516">
        <f t="shared" si="76"/>
        <v>0</v>
      </c>
      <c r="N839" s="521"/>
      <c r="O839" s="516">
        <f t="shared" si="77"/>
        <v>0</v>
      </c>
      <c r="P839" s="516">
        <f t="shared" si="78"/>
        <v>0</v>
      </c>
      <c r="Q839" s="479"/>
    </row>
    <row r="840" spans="3:17">
      <c r="C840" s="512">
        <f>IF(D792="","-",+C839+1)</f>
        <v>2059</v>
      </c>
      <c r="D840" s="477">
        <f t="shared" si="79"/>
        <v>0</v>
      </c>
      <c r="E840" s="519">
        <f t="shared" si="80"/>
        <v>0</v>
      </c>
      <c r="F840" s="519">
        <f t="shared" si="73"/>
        <v>0</v>
      </c>
      <c r="G840" s="477">
        <f t="shared" si="74"/>
        <v>0</v>
      </c>
      <c r="H840" s="513">
        <f>+J793*G840+E840</f>
        <v>0</v>
      </c>
      <c r="I840" s="520">
        <f>+J794*G840+E840</f>
        <v>0</v>
      </c>
      <c r="J840" s="516">
        <f t="shared" si="75"/>
        <v>0</v>
      </c>
      <c r="K840" s="516"/>
      <c r="L840" s="521"/>
      <c r="M840" s="516">
        <f t="shared" si="76"/>
        <v>0</v>
      </c>
      <c r="N840" s="521"/>
      <c r="O840" s="516">
        <f t="shared" si="77"/>
        <v>0</v>
      </c>
      <c r="P840" s="516">
        <f t="shared" si="78"/>
        <v>0</v>
      </c>
      <c r="Q840" s="479"/>
    </row>
    <row r="841" spans="3:17">
      <c r="C841" s="512">
        <f>IF(D792="","-",+C840+1)</f>
        <v>2060</v>
      </c>
      <c r="D841" s="477">
        <f t="shared" si="79"/>
        <v>0</v>
      </c>
      <c r="E841" s="519">
        <f t="shared" si="80"/>
        <v>0</v>
      </c>
      <c r="F841" s="519">
        <f t="shared" si="73"/>
        <v>0</v>
      </c>
      <c r="G841" s="477">
        <f t="shared" si="74"/>
        <v>0</v>
      </c>
      <c r="H841" s="513">
        <f>+J793*G841+E841</f>
        <v>0</v>
      </c>
      <c r="I841" s="520">
        <f>+J794*G841+E841</f>
        <v>0</v>
      </c>
      <c r="J841" s="516">
        <f t="shared" si="75"/>
        <v>0</v>
      </c>
      <c r="K841" s="516"/>
      <c r="L841" s="521"/>
      <c r="M841" s="516">
        <f t="shared" si="76"/>
        <v>0</v>
      </c>
      <c r="N841" s="521"/>
      <c r="O841" s="516">
        <f t="shared" si="77"/>
        <v>0</v>
      </c>
      <c r="P841" s="516">
        <f t="shared" si="78"/>
        <v>0</v>
      </c>
      <c r="Q841" s="479"/>
    </row>
    <row r="842" spans="3:17">
      <c r="C842" s="512">
        <f>IF(D792="","-",+C841+1)</f>
        <v>2061</v>
      </c>
      <c r="D842" s="477">
        <f t="shared" si="79"/>
        <v>0</v>
      </c>
      <c r="E842" s="519">
        <f t="shared" si="80"/>
        <v>0</v>
      </c>
      <c r="F842" s="519">
        <f t="shared" si="73"/>
        <v>0</v>
      </c>
      <c r="G842" s="477">
        <f t="shared" si="74"/>
        <v>0</v>
      </c>
      <c r="H842" s="513">
        <f>+J793*G842+E842</f>
        <v>0</v>
      </c>
      <c r="I842" s="520">
        <f>+J794*G842+E842</f>
        <v>0</v>
      </c>
      <c r="J842" s="516">
        <f t="shared" si="75"/>
        <v>0</v>
      </c>
      <c r="K842" s="516"/>
      <c r="L842" s="521"/>
      <c r="M842" s="516">
        <f t="shared" si="76"/>
        <v>0</v>
      </c>
      <c r="N842" s="521"/>
      <c r="O842" s="516">
        <f t="shared" si="77"/>
        <v>0</v>
      </c>
      <c r="P842" s="516">
        <f t="shared" si="78"/>
        <v>0</v>
      </c>
      <c r="Q842" s="479"/>
    </row>
    <row r="843" spans="3:17">
      <c r="C843" s="512">
        <f>IF(D792="","-",+C842+1)</f>
        <v>2062</v>
      </c>
      <c r="D843" s="477">
        <f t="shared" si="79"/>
        <v>0</v>
      </c>
      <c r="E843" s="519">
        <f t="shared" si="80"/>
        <v>0</v>
      </c>
      <c r="F843" s="519">
        <f t="shared" si="73"/>
        <v>0</v>
      </c>
      <c r="G843" s="477">
        <f t="shared" si="74"/>
        <v>0</v>
      </c>
      <c r="H843" s="513">
        <f>+J793*G843+E843</f>
        <v>0</v>
      </c>
      <c r="I843" s="520">
        <f>+J794*G843+E843</f>
        <v>0</v>
      </c>
      <c r="J843" s="516">
        <f t="shared" si="75"/>
        <v>0</v>
      </c>
      <c r="K843" s="516"/>
      <c r="L843" s="521"/>
      <c r="M843" s="516">
        <f t="shared" si="76"/>
        <v>0</v>
      </c>
      <c r="N843" s="521"/>
      <c r="O843" s="516">
        <f t="shared" si="77"/>
        <v>0</v>
      </c>
      <c r="P843" s="516">
        <f t="shared" si="78"/>
        <v>0</v>
      </c>
      <c r="Q843" s="479"/>
    </row>
    <row r="844" spans="3:17">
      <c r="C844" s="512">
        <f>IF(D792="","-",+C843+1)</f>
        <v>2063</v>
      </c>
      <c r="D844" s="477">
        <f t="shared" si="79"/>
        <v>0</v>
      </c>
      <c r="E844" s="519">
        <f t="shared" si="80"/>
        <v>0</v>
      </c>
      <c r="F844" s="519">
        <f t="shared" si="73"/>
        <v>0</v>
      </c>
      <c r="G844" s="477">
        <f t="shared" si="74"/>
        <v>0</v>
      </c>
      <c r="H844" s="513">
        <f>+J793*G844+E844</f>
        <v>0</v>
      </c>
      <c r="I844" s="520">
        <f>+J794*G844+E844</f>
        <v>0</v>
      </c>
      <c r="J844" s="516">
        <f t="shared" si="75"/>
        <v>0</v>
      </c>
      <c r="K844" s="516"/>
      <c r="L844" s="521"/>
      <c r="M844" s="516">
        <f t="shared" si="76"/>
        <v>0</v>
      </c>
      <c r="N844" s="521"/>
      <c r="O844" s="516">
        <f t="shared" si="77"/>
        <v>0</v>
      </c>
      <c r="P844" s="516">
        <f t="shared" si="78"/>
        <v>0</v>
      </c>
      <c r="Q844" s="479"/>
    </row>
    <row r="845" spans="3:17">
      <c r="C845" s="512">
        <f>IF(D792="","-",+C844+1)</f>
        <v>2064</v>
      </c>
      <c r="D845" s="477">
        <f t="shared" si="79"/>
        <v>0</v>
      </c>
      <c r="E845" s="519">
        <f t="shared" si="80"/>
        <v>0</v>
      </c>
      <c r="F845" s="519">
        <f t="shared" si="73"/>
        <v>0</v>
      </c>
      <c r="G845" s="477">
        <f t="shared" si="74"/>
        <v>0</v>
      </c>
      <c r="H845" s="513">
        <f>+J793*G845+E845</f>
        <v>0</v>
      </c>
      <c r="I845" s="520">
        <f>+J794*G845+E845</f>
        <v>0</v>
      </c>
      <c r="J845" s="516">
        <f t="shared" si="75"/>
        <v>0</v>
      </c>
      <c r="K845" s="516"/>
      <c r="L845" s="521"/>
      <c r="M845" s="516">
        <f t="shared" si="76"/>
        <v>0</v>
      </c>
      <c r="N845" s="521"/>
      <c r="O845" s="516">
        <f t="shared" si="77"/>
        <v>0</v>
      </c>
      <c r="P845" s="516">
        <f t="shared" si="78"/>
        <v>0</v>
      </c>
      <c r="Q845" s="479"/>
    </row>
    <row r="846" spans="3:17">
      <c r="C846" s="512">
        <f>IF(D792="","-",+C845+1)</f>
        <v>2065</v>
      </c>
      <c r="D846" s="477">
        <f t="shared" si="79"/>
        <v>0</v>
      </c>
      <c r="E846" s="519">
        <f t="shared" si="80"/>
        <v>0</v>
      </c>
      <c r="F846" s="519">
        <f t="shared" si="73"/>
        <v>0</v>
      </c>
      <c r="G846" s="477">
        <f t="shared" si="74"/>
        <v>0</v>
      </c>
      <c r="H846" s="513">
        <f>+J793*G846+E846</f>
        <v>0</v>
      </c>
      <c r="I846" s="520">
        <f>+J794*G846+E846</f>
        <v>0</v>
      </c>
      <c r="J846" s="516">
        <f t="shared" si="75"/>
        <v>0</v>
      </c>
      <c r="K846" s="516"/>
      <c r="L846" s="521"/>
      <c r="M846" s="516">
        <f t="shared" si="76"/>
        <v>0</v>
      </c>
      <c r="N846" s="521"/>
      <c r="O846" s="516">
        <f t="shared" si="77"/>
        <v>0</v>
      </c>
      <c r="P846" s="516">
        <f t="shared" si="78"/>
        <v>0</v>
      </c>
      <c r="Q846" s="479"/>
    </row>
    <row r="847" spans="3:17">
      <c r="C847" s="512">
        <f>IF(D792="","-",+C846+1)</f>
        <v>2066</v>
      </c>
      <c r="D847" s="477">
        <f t="shared" si="79"/>
        <v>0</v>
      </c>
      <c r="E847" s="519">
        <f t="shared" si="80"/>
        <v>0</v>
      </c>
      <c r="F847" s="519">
        <f t="shared" si="73"/>
        <v>0</v>
      </c>
      <c r="G847" s="477">
        <f t="shared" si="74"/>
        <v>0</v>
      </c>
      <c r="H847" s="513">
        <f>+J793*G847+E847</f>
        <v>0</v>
      </c>
      <c r="I847" s="520">
        <f>+J794*G847+E847</f>
        <v>0</v>
      </c>
      <c r="J847" s="516">
        <f t="shared" si="75"/>
        <v>0</v>
      </c>
      <c r="K847" s="516"/>
      <c r="L847" s="521"/>
      <c r="M847" s="516">
        <f t="shared" si="76"/>
        <v>0</v>
      </c>
      <c r="N847" s="521"/>
      <c r="O847" s="516">
        <f t="shared" si="77"/>
        <v>0</v>
      </c>
      <c r="P847" s="516">
        <f t="shared" si="78"/>
        <v>0</v>
      </c>
      <c r="Q847" s="479"/>
    </row>
    <row r="848" spans="3:17">
      <c r="C848" s="512">
        <f>IF(D792="","-",+C847+1)</f>
        <v>2067</v>
      </c>
      <c r="D848" s="477">
        <f t="shared" si="79"/>
        <v>0</v>
      </c>
      <c r="E848" s="519">
        <f t="shared" si="80"/>
        <v>0</v>
      </c>
      <c r="F848" s="519">
        <f t="shared" si="73"/>
        <v>0</v>
      </c>
      <c r="G848" s="477">
        <f t="shared" si="74"/>
        <v>0</v>
      </c>
      <c r="H848" s="513">
        <f>+J793*G848+E848</f>
        <v>0</v>
      </c>
      <c r="I848" s="520">
        <f>+J794*G848+E848</f>
        <v>0</v>
      </c>
      <c r="J848" s="516">
        <f t="shared" si="75"/>
        <v>0</v>
      </c>
      <c r="K848" s="516"/>
      <c r="L848" s="521"/>
      <c r="M848" s="516">
        <f t="shared" si="76"/>
        <v>0</v>
      </c>
      <c r="N848" s="521"/>
      <c r="O848" s="516">
        <f t="shared" si="77"/>
        <v>0</v>
      </c>
      <c r="P848" s="516">
        <f t="shared" si="78"/>
        <v>0</v>
      </c>
      <c r="Q848" s="479"/>
    </row>
    <row r="849" spans="3:17">
      <c r="C849" s="512">
        <f>IF(D792="","-",+C848+1)</f>
        <v>2068</v>
      </c>
      <c r="D849" s="477">
        <f t="shared" si="79"/>
        <v>0</v>
      </c>
      <c r="E849" s="519">
        <f t="shared" si="80"/>
        <v>0</v>
      </c>
      <c r="F849" s="519">
        <f t="shared" si="73"/>
        <v>0</v>
      </c>
      <c r="G849" s="477">
        <f t="shared" si="74"/>
        <v>0</v>
      </c>
      <c r="H849" s="513">
        <f>+J793*G849+E849</f>
        <v>0</v>
      </c>
      <c r="I849" s="520">
        <f>+J794*G849+E849</f>
        <v>0</v>
      </c>
      <c r="J849" s="516">
        <f t="shared" si="75"/>
        <v>0</v>
      </c>
      <c r="K849" s="516"/>
      <c r="L849" s="521"/>
      <c r="M849" s="516">
        <f t="shared" si="76"/>
        <v>0</v>
      </c>
      <c r="N849" s="521"/>
      <c r="O849" s="516">
        <f t="shared" si="77"/>
        <v>0</v>
      </c>
      <c r="P849" s="516">
        <f t="shared" si="78"/>
        <v>0</v>
      </c>
      <c r="Q849" s="479"/>
    </row>
    <row r="850" spans="3:17">
      <c r="C850" s="512">
        <f>IF(D792="","-",+C849+1)</f>
        <v>2069</v>
      </c>
      <c r="D850" s="477">
        <f t="shared" si="79"/>
        <v>0</v>
      </c>
      <c r="E850" s="519">
        <f t="shared" si="80"/>
        <v>0</v>
      </c>
      <c r="F850" s="519">
        <f t="shared" si="73"/>
        <v>0</v>
      </c>
      <c r="G850" s="477">
        <f t="shared" si="74"/>
        <v>0</v>
      </c>
      <c r="H850" s="513">
        <f>+J793*G850+E850</f>
        <v>0</v>
      </c>
      <c r="I850" s="520">
        <f>+J794*G850+E850</f>
        <v>0</v>
      </c>
      <c r="J850" s="516">
        <f t="shared" si="75"/>
        <v>0</v>
      </c>
      <c r="K850" s="516"/>
      <c r="L850" s="521"/>
      <c r="M850" s="516">
        <f t="shared" si="76"/>
        <v>0</v>
      </c>
      <c r="N850" s="521"/>
      <c r="O850" s="516">
        <f t="shared" si="77"/>
        <v>0</v>
      </c>
      <c r="P850" s="516">
        <f t="shared" si="78"/>
        <v>0</v>
      </c>
      <c r="Q850" s="479"/>
    </row>
    <row r="851" spans="3:17">
      <c r="C851" s="512">
        <f>IF(D792="","-",+C850+1)</f>
        <v>2070</v>
      </c>
      <c r="D851" s="477">
        <f t="shared" si="79"/>
        <v>0</v>
      </c>
      <c r="E851" s="519">
        <f t="shared" si="80"/>
        <v>0</v>
      </c>
      <c r="F851" s="519">
        <f t="shared" si="73"/>
        <v>0</v>
      </c>
      <c r="G851" s="477">
        <f t="shared" si="74"/>
        <v>0</v>
      </c>
      <c r="H851" s="513">
        <f>+J793*G851+E851</f>
        <v>0</v>
      </c>
      <c r="I851" s="520">
        <f>+J794*G851+E851</f>
        <v>0</v>
      </c>
      <c r="J851" s="516">
        <f t="shared" si="75"/>
        <v>0</v>
      </c>
      <c r="K851" s="516"/>
      <c r="L851" s="521"/>
      <c r="M851" s="516">
        <f t="shared" si="76"/>
        <v>0</v>
      </c>
      <c r="N851" s="521"/>
      <c r="O851" s="516">
        <f t="shared" si="77"/>
        <v>0</v>
      </c>
      <c r="P851" s="516">
        <f t="shared" si="78"/>
        <v>0</v>
      </c>
      <c r="Q851" s="479"/>
    </row>
    <row r="852" spans="3:17">
      <c r="C852" s="512">
        <f>IF(D792="","-",+C851+1)</f>
        <v>2071</v>
      </c>
      <c r="D852" s="477">
        <f t="shared" si="79"/>
        <v>0</v>
      </c>
      <c r="E852" s="519">
        <f t="shared" si="80"/>
        <v>0</v>
      </c>
      <c r="F852" s="519">
        <f t="shared" si="73"/>
        <v>0</v>
      </c>
      <c r="G852" s="477">
        <f t="shared" si="74"/>
        <v>0</v>
      </c>
      <c r="H852" s="513">
        <f>+J793*G852+E852</f>
        <v>0</v>
      </c>
      <c r="I852" s="520">
        <f>+J794*G852+E852</f>
        <v>0</v>
      </c>
      <c r="J852" s="516">
        <f t="shared" si="75"/>
        <v>0</v>
      </c>
      <c r="K852" s="516"/>
      <c r="L852" s="521"/>
      <c r="M852" s="516">
        <f t="shared" si="76"/>
        <v>0</v>
      </c>
      <c r="N852" s="521"/>
      <c r="O852" s="516">
        <f t="shared" si="77"/>
        <v>0</v>
      </c>
      <c r="P852" s="516">
        <f t="shared" si="78"/>
        <v>0</v>
      </c>
      <c r="Q852" s="479"/>
    </row>
    <row r="853" spans="3:17">
      <c r="C853" s="512">
        <f>IF(D792="","-",+C852+1)</f>
        <v>2072</v>
      </c>
      <c r="D853" s="477">
        <f t="shared" si="79"/>
        <v>0</v>
      </c>
      <c r="E853" s="519">
        <f t="shared" si="80"/>
        <v>0</v>
      </c>
      <c r="F853" s="519">
        <f t="shared" si="73"/>
        <v>0</v>
      </c>
      <c r="G853" s="477">
        <f t="shared" si="74"/>
        <v>0</v>
      </c>
      <c r="H853" s="513">
        <f>+J793*G853+E853</f>
        <v>0</v>
      </c>
      <c r="I853" s="520">
        <f>+J794*G853+E853</f>
        <v>0</v>
      </c>
      <c r="J853" s="516">
        <f t="shared" si="75"/>
        <v>0</v>
      </c>
      <c r="K853" s="516"/>
      <c r="L853" s="521"/>
      <c r="M853" s="516">
        <f t="shared" si="76"/>
        <v>0</v>
      </c>
      <c r="N853" s="521"/>
      <c r="O853" s="516">
        <f t="shared" si="77"/>
        <v>0</v>
      </c>
      <c r="P853" s="516">
        <f t="shared" si="78"/>
        <v>0</v>
      </c>
      <c r="Q853" s="479"/>
    </row>
    <row r="854" spans="3:17">
      <c r="C854" s="512">
        <f>IF(D792="","-",+C853+1)</f>
        <v>2073</v>
      </c>
      <c r="D854" s="477">
        <f t="shared" si="79"/>
        <v>0</v>
      </c>
      <c r="E854" s="519">
        <f t="shared" si="80"/>
        <v>0</v>
      </c>
      <c r="F854" s="519">
        <f t="shared" si="73"/>
        <v>0</v>
      </c>
      <c r="G854" s="477">
        <f t="shared" si="74"/>
        <v>0</v>
      </c>
      <c r="H854" s="513">
        <f>+J793*G854+E854</f>
        <v>0</v>
      </c>
      <c r="I854" s="520">
        <f>+J794*G854+E854</f>
        <v>0</v>
      </c>
      <c r="J854" s="516">
        <f t="shared" si="75"/>
        <v>0</v>
      </c>
      <c r="K854" s="516"/>
      <c r="L854" s="521"/>
      <c r="M854" s="516">
        <f t="shared" si="76"/>
        <v>0</v>
      </c>
      <c r="N854" s="521"/>
      <c r="O854" s="516">
        <f t="shared" si="77"/>
        <v>0</v>
      </c>
      <c r="P854" s="516">
        <f t="shared" si="78"/>
        <v>0</v>
      </c>
      <c r="Q854" s="479"/>
    </row>
    <row r="855" spans="3:17">
      <c r="C855" s="512">
        <f>IF(D792="","-",+C854+1)</f>
        <v>2074</v>
      </c>
      <c r="D855" s="477">
        <f t="shared" si="79"/>
        <v>0</v>
      </c>
      <c r="E855" s="519">
        <f t="shared" si="80"/>
        <v>0</v>
      </c>
      <c r="F855" s="519">
        <f t="shared" si="73"/>
        <v>0</v>
      </c>
      <c r="G855" s="477">
        <f t="shared" si="74"/>
        <v>0</v>
      </c>
      <c r="H855" s="513">
        <f>+J793*G855+E855</f>
        <v>0</v>
      </c>
      <c r="I855" s="520">
        <f>+J794*G855+E855</f>
        <v>0</v>
      </c>
      <c r="J855" s="516">
        <f t="shared" si="75"/>
        <v>0</v>
      </c>
      <c r="K855" s="516"/>
      <c r="L855" s="521"/>
      <c r="M855" s="516">
        <f t="shared" si="76"/>
        <v>0</v>
      </c>
      <c r="N855" s="521"/>
      <c r="O855" s="516">
        <f t="shared" si="77"/>
        <v>0</v>
      </c>
      <c r="P855" s="516">
        <f t="shared" si="78"/>
        <v>0</v>
      </c>
      <c r="Q855" s="479"/>
    </row>
    <row r="856" spans="3:17">
      <c r="C856" s="512">
        <f>IF(D792="","-",+C855+1)</f>
        <v>2075</v>
      </c>
      <c r="D856" s="477">
        <f t="shared" si="79"/>
        <v>0</v>
      </c>
      <c r="E856" s="519">
        <f t="shared" si="80"/>
        <v>0</v>
      </c>
      <c r="F856" s="519">
        <f t="shared" si="73"/>
        <v>0</v>
      </c>
      <c r="G856" s="477">
        <f t="shared" si="74"/>
        <v>0</v>
      </c>
      <c r="H856" s="513">
        <f>+J793*G856+E856</f>
        <v>0</v>
      </c>
      <c r="I856" s="520">
        <f>+J794*G856+E856</f>
        <v>0</v>
      </c>
      <c r="J856" s="516">
        <f t="shared" si="75"/>
        <v>0</v>
      </c>
      <c r="K856" s="516"/>
      <c r="L856" s="521"/>
      <c r="M856" s="516">
        <f t="shared" si="76"/>
        <v>0</v>
      </c>
      <c r="N856" s="521"/>
      <c r="O856" s="516">
        <f t="shared" si="77"/>
        <v>0</v>
      </c>
      <c r="P856" s="516">
        <f t="shared" si="78"/>
        <v>0</v>
      </c>
      <c r="Q856" s="479"/>
    </row>
    <row r="857" spans="3:17" ht="13.5" thickBot="1">
      <c r="C857" s="523">
        <f>IF(D792="","-",+C856+1)</f>
        <v>2076</v>
      </c>
      <c r="D857" s="524">
        <f t="shared" si="79"/>
        <v>0</v>
      </c>
      <c r="E857" s="974">
        <f t="shared" si="80"/>
        <v>0</v>
      </c>
      <c r="F857" s="525">
        <f t="shared" si="73"/>
        <v>0</v>
      </c>
      <c r="G857" s="524">
        <f t="shared" si="74"/>
        <v>0</v>
      </c>
      <c r="H857" s="526">
        <f>+J793*G857+E857</f>
        <v>0</v>
      </c>
      <c r="I857" s="526">
        <f>+J794*G857+E857</f>
        <v>0</v>
      </c>
      <c r="J857" s="527">
        <f t="shared" si="75"/>
        <v>0</v>
      </c>
      <c r="K857" s="516"/>
      <c r="L857" s="528"/>
      <c r="M857" s="527">
        <f t="shared" si="76"/>
        <v>0</v>
      </c>
      <c r="N857" s="528"/>
      <c r="O857" s="527">
        <f t="shared" si="77"/>
        <v>0</v>
      </c>
      <c r="P857" s="527">
        <f t="shared" si="78"/>
        <v>0</v>
      </c>
      <c r="Q857" s="479"/>
    </row>
    <row r="858" spans="3:17">
      <c r="C858" s="477" t="s">
        <v>289</v>
      </c>
      <c r="D858" s="475"/>
      <c r="E858" s="475">
        <f>SUM(E798:E857)</f>
        <v>633539.95999999985</v>
      </c>
      <c r="F858" s="475"/>
      <c r="G858" s="475"/>
      <c r="H858" s="475">
        <f>SUM(H798:H857)</f>
        <v>2000068.3342922018</v>
      </c>
      <c r="I858" s="475">
        <f>SUM(I798:I857)</f>
        <v>2000068.3342922018</v>
      </c>
      <c r="J858" s="475">
        <f>SUM(J798:J857)</f>
        <v>0</v>
      </c>
      <c r="K858" s="475"/>
      <c r="L858" s="475"/>
      <c r="M858" s="475"/>
      <c r="N858" s="475"/>
      <c r="O858" s="475"/>
      <c r="Q858" s="475"/>
    </row>
    <row r="859" spans="3:17">
      <c r="D859" s="82"/>
      <c r="E859" s="4"/>
      <c r="F859" s="4"/>
      <c r="G859" s="4"/>
      <c r="H859" s="4"/>
      <c r="I859" s="460"/>
      <c r="J859" s="460"/>
      <c r="K859" s="475"/>
      <c r="L859" s="460"/>
      <c r="M859" s="460"/>
      <c r="N859" s="460"/>
      <c r="O859" s="460"/>
      <c r="Q859" s="475"/>
    </row>
    <row r="860" spans="3:17">
      <c r="C860" s="4" t="s">
        <v>596</v>
      </c>
      <c r="D860" s="82"/>
      <c r="E860" s="4"/>
      <c r="F860" s="4"/>
      <c r="G860" s="4"/>
      <c r="H860" s="4"/>
      <c r="I860" s="460"/>
      <c r="J860" s="460"/>
      <c r="K860" s="475"/>
      <c r="L860" s="460"/>
      <c r="M860" s="460"/>
      <c r="N860" s="460"/>
      <c r="O860" s="460"/>
      <c r="Q860" s="475"/>
    </row>
    <row r="861" spans="3:17">
      <c r="D861" s="82"/>
      <c r="E861" s="4"/>
      <c r="F861" s="4"/>
      <c r="G861" s="4"/>
      <c r="H861" s="4"/>
      <c r="I861" s="460"/>
      <c r="J861" s="460"/>
      <c r="K861" s="475"/>
      <c r="L861" s="460"/>
      <c r="M861" s="460"/>
      <c r="N861" s="460"/>
      <c r="O861" s="460"/>
      <c r="Q861" s="475"/>
    </row>
    <row r="862" spans="3:17">
      <c r="C862" s="4" t="s">
        <v>597</v>
      </c>
      <c r="D862" s="477"/>
      <c r="E862" s="477"/>
      <c r="F862" s="477"/>
      <c r="G862" s="477"/>
      <c r="H862" s="475"/>
      <c r="I862" s="475"/>
      <c r="J862" s="479"/>
      <c r="K862" s="479"/>
      <c r="L862" s="479"/>
      <c r="M862" s="479"/>
      <c r="N862" s="479"/>
      <c r="O862" s="479"/>
      <c r="Q862" s="479"/>
    </row>
    <row r="863" spans="3:17">
      <c r="C863" s="4" t="s">
        <v>477</v>
      </c>
      <c r="D863" s="477"/>
      <c r="E863" s="477"/>
      <c r="F863" s="477"/>
      <c r="G863" s="477"/>
      <c r="H863" s="475"/>
      <c r="I863" s="475"/>
      <c r="J863" s="479"/>
      <c r="K863" s="479"/>
      <c r="L863" s="479"/>
      <c r="M863" s="479"/>
      <c r="N863" s="479"/>
      <c r="O863" s="479"/>
      <c r="Q863" s="479"/>
    </row>
    <row r="864" spans="3:17">
      <c r="C864" s="4" t="s">
        <v>290</v>
      </c>
      <c r="D864" s="477"/>
      <c r="E864" s="477"/>
      <c r="F864" s="477"/>
      <c r="G864" s="477"/>
      <c r="H864" s="475"/>
      <c r="I864" s="475"/>
      <c r="J864" s="479"/>
      <c r="K864" s="479"/>
      <c r="L864" s="479"/>
      <c r="M864" s="479"/>
      <c r="N864" s="479"/>
      <c r="O864" s="479"/>
      <c r="Q864" s="479"/>
    </row>
    <row r="865" spans="1:17">
      <c r="C865" s="4"/>
      <c r="D865" s="477"/>
      <c r="E865" s="477"/>
      <c r="F865" s="477"/>
      <c r="G865" s="477"/>
      <c r="H865" s="475"/>
      <c r="I865" s="475"/>
      <c r="J865" s="479"/>
      <c r="K865" s="479"/>
      <c r="L865" s="479"/>
      <c r="M865" s="479"/>
      <c r="N865" s="479"/>
      <c r="O865" s="479"/>
      <c r="Q865" s="479"/>
    </row>
    <row r="866" spans="1:17" ht="20.25">
      <c r="A866" s="419" t="s">
        <v>763</v>
      </c>
      <c r="B866" s="4"/>
      <c r="C866" s="4"/>
      <c r="D866" s="82"/>
      <c r="E866" s="4"/>
      <c r="F866" s="84"/>
      <c r="G866" s="84"/>
      <c r="H866" s="4"/>
      <c r="I866" s="460"/>
      <c r="L866" s="11"/>
      <c r="M866" s="11"/>
      <c r="N866" s="11"/>
      <c r="O866" s="11" t="str">
        <f>"Page "&amp;SUM(Q$3:Q866)&amp;" of "</f>
        <v xml:space="preserve">Page 13 of </v>
      </c>
      <c r="P866" s="420">
        <f>COUNT(Q$8:Q$58123)</f>
        <v>15</v>
      </c>
      <c r="Q866" s="547">
        <v>1</v>
      </c>
    </row>
    <row r="867" spans="1:17">
      <c r="B867" s="4"/>
      <c r="C867" s="4"/>
      <c r="D867" s="82"/>
      <c r="E867" s="4"/>
      <c r="F867" s="4"/>
      <c r="G867" s="4"/>
      <c r="H867" s="4"/>
      <c r="I867" s="460"/>
      <c r="J867" s="4"/>
      <c r="K867" s="4"/>
    </row>
    <row r="868" spans="1:17" ht="18">
      <c r="B868" s="421" t="s">
        <v>175</v>
      </c>
      <c r="C868" s="480" t="s">
        <v>291</v>
      </c>
      <c r="D868" s="82"/>
      <c r="E868" s="4"/>
      <c r="F868" s="4"/>
      <c r="G868" s="4"/>
      <c r="H868" s="4"/>
      <c r="I868" s="460"/>
      <c r="J868" s="460"/>
      <c r="K868" s="475"/>
      <c r="L868" s="460"/>
      <c r="M868" s="460"/>
      <c r="N868" s="460"/>
      <c r="O868" s="460"/>
      <c r="Q868" s="475"/>
    </row>
    <row r="869" spans="1:17" ht="18.75">
      <c r="B869" s="421"/>
      <c r="C869" s="13"/>
      <c r="D869" s="82"/>
      <c r="E869" s="4"/>
      <c r="F869" s="4"/>
      <c r="G869" s="4"/>
      <c r="H869" s="4"/>
      <c r="I869" s="460"/>
      <c r="J869" s="460"/>
      <c r="K869" s="475"/>
      <c r="L869" s="460"/>
      <c r="M869" s="460"/>
      <c r="N869" s="460"/>
      <c r="O869" s="460"/>
      <c r="Q869" s="475"/>
    </row>
    <row r="870" spans="1:17" ht="18.75">
      <c r="B870" s="421"/>
      <c r="C870" s="13" t="s">
        <v>292</v>
      </c>
      <c r="D870" s="82"/>
      <c r="E870" s="4"/>
      <c r="F870" s="4"/>
      <c r="G870" s="4"/>
      <c r="H870" s="4"/>
      <c r="I870" s="460"/>
      <c r="J870" s="460"/>
      <c r="K870" s="475"/>
      <c r="L870" s="460"/>
      <c r="M870" s="460"/>
      <c r="N870" s="460"/>
      <c r="O870" s="460"/>
      <c r="Q870" s="475"/>
    </row>
    <row r="871" spans="1:17" ht="15.75" thickBot="1">
      <c r="C871" s="254"/>
      <c r="D871" s="82"/>
      <c r="E871" s="4"/>
      <c r="F871" s="4"/>
      <c r="G871" s="4"/>
      <c r="H871" s="4"/>
      <c r="I871" s="460"/>
      <c r="J871" s="460"/>
      <c r="K871" s="475"/>
      <c r="L871" s="460"/>
      <c r="M871" s="460"/>
      <c r="N871" s="460"/>
      <c r="O871" s="460"/>
      <c r="Q871" s="475"/>
    </row>
    <row r="872" spans="1:17" ht="15.75">
      <c r="C872" s="422" t="s">
        <v>293</v>
      </c>
      <c r="D872" s="82"/>
      <c r="E872" s="4"/>
      <c r="F872" s="4"/>
      <c r="G872" s="4"/>
      <c r="H872" s="645"/>
      <c r="I872" s="4" t="s">
        <v>272</v>
      </c>
      <c r="J872" s="4"/>
      <c r="K872" s="4"/>
      <c r="L872" s="548">
        <f>+J878</f>
        <v>2025</v>
      </c>
      <c r="M872" s="532" t="s">
        <v>255</v>
      </c>
      <c r="N872" s="532" t="s">
        <v>256</v>
      </c>
      <c r="O872" s="533" t="s">
        <v>257</v>
      </c>
    </row>
    <row r="873" spans="1:17" ht="15.75">
      <c r="C873" s="422"/>
      <c r="D873" s="82"/>
      <c r="E873" s="4"/>
      <c r="F873" s="4"/>
      <c r="H873" s="4"/>
      <c r="I873" s="484"/>
      <c r="J873" s="484"/>
      <c r="K873" s="485"/>
      <c r="L873" s="549" t="s">
        <v>456</v>
      </c>
      <c r="M873" s="550">
        <f>VLOOKUP(J878,C885:P944,10)</f>
        <v>82213.905040394297</v>
      </c>
      <c r="N873" s="550">
        <f>VLOOKUP(J878,C885:P944,12)</f>
        <v>82213.905040394297</v>
      </c>
      <c r="O873" s="551">
        <f>+N873-M873</f>
        <v>0</v>
      </c>
      <c r="Q873" s="485"/>
    </row>
    <row r="874" spans="1:17">
      <c r="C874" s="487" t="s">
        <v>294</v>
      </c>
      <c r="D874" s="1274" t="s">
        <v>954</v>
      </c>
      <c r="E874" s="1275"/>
      <c r="F874" s="1275"/>
      <c r="G874" s="1275"/>
      <c r="H874" s="1275"/>
      <c r="I874" s="1275"/>
      <c r="J874" s="460"/>
      <c r="K874" s="475"/>
      <c r="L874" s="549" t="s">
        <v>457</v>
      </c>
      <c r="M874" s="552">
        <f>VLOOKUP(J878,C885:P944,6)</f>
        <v>76289.528853761178</v>
      </c>
      <c r="N874" s="552">
        <f>VLOOKUP(J878,C885:P944,7)</f>
        <v>76289.528853761178</v>
      </c>
      <c r="O874" s="553">
        <f>+N874-M874</f>
        <v>0</v>
      </c>
      <c r="Q874" s="475"/>
    </row>
    <row r="875" spans="1:17" ht="13.5" thickBot="1">
      <c r="C875" s="489"/>
      <c r="D875" s="1275"/>
      <c r="E875" s="1275"/>
      <c r="F875" s="1275"/>
      <c r="G875" s="1275"/>
      <c r="H875" s="1275"/>
      <c r="I875" s="1275"/>
      <c r="J875" s="460"/>
      <c r="K875" s="475"/>
      <c r="L875" s="499" t="s">
        <v>458</v>
      </c>
      <c r="M875" s="554">
        <f>+M874-M873</f>
        <v>-5924.3761866331188</v>
      </c>
      <c r="N875" s="554">
        <f>+N874-N873</f>
        <v>-5924.3761866331188</v>
      </c>
      <c r="O875" s="555">
        <f>+O874-O873</f>
        <v>0</v>
      </c>
      <c r="Q875" s="475"/>
    </row>
    <row r="876" spans="1:17" ht="13.5" thickBot="1">
      <c r="C876" s="489"/>
      <c r="D876" s="4"/>
      <c r="E876" s="490"/>
      <c r="F876" s="490"/>
      <c r="G876" s="490"/>
      <c r="H876" s="490"/>
      <c r="I876" s="490"/>
      <c r="J876" s="490"/>
      <c r="K876" s="490"/>
      <c r="L876" s="490"/>
      <c r="M876" s="490"/>
      <c r="N876" s="490"/>
      <c r="O876" s="490"/>
      <c r="Q876" s="490"/>
    </row>
    <row r="877" spans="1:17" ht="13.5" thickBot="1">
      <c r="C877" s="491" t="s">
        <v>295</v>
      </c>
      <c r="D877" s="492"/>
      <c r="E877" s="492"/>
      <c r="F877" s="492"/>
      <c r="G877" s="492"/>
      <c r="H877" s="492"/>
      <c r="I877" s="492"/>
      <c r="J877" s="492"/>
      <c r="Q877"/>
    </row>
    <row r="878" spans="1:17" ht="15">
      <c r="A878" s="978"/>
      <c r="C878" s="494" t="s">
        <v>273</v>
      </c>
      <c r="D878" s="979">
        <v>653739.25</v>
      </c>
      <c r="E878" s="4" t="s">
        <v>274</v>
      </c>
      <c r="H878" s="82"/>
      <c r="I878" s="82"/>
      <c r="J878" s="495">
        <f>$J$95</f>
        <v>2025</v>
      </c>
      <c r="K878" s="138"/>
      <c r="L878" s="1284" t="s">
        <v>275</v>
      </c>
      <c r="M878" s="1284"/>
      <c r="N878" s="1284"/>
      <c r="O878" s="1284"/>
      <c r="Q878" s="138"/>
    </row>
    <row r="879" spans="1:17">
      <c r="A879" s="978"/>
      <c r="C879" s="494" t="s">
        <v>276</v>
      </c>
      <c r="D879" s="647">
        <v>2018</v>
      </c>
      <c r="E879" s="494" t="s">
        <v>277</v>
      </c>
      <c r="F879" s="82"/>
      <c r="G879" s="82"/>
      <c r="I879"/>
      <c r="J879" s="650">
        <v>0</v>
      </c>
      <c r="K879" s="496"/>
      <c r="L879" s="475" t="s">
        <v>476</v>
      </c>
      <c r="Q879" s="496"/>
    </row>
    <row r="880" spans="1:17">
      <c r="A880" s="978"/>
      <c r="C880" s="494" t="s">
        <v>278</v>
      </c>
      <c r="D880" s="946">
        <v>5</v>
      </c>
      <c r="E880" s="494" t="s">
        <v>279</v>
      </c>
      <c r="F880" s="82"/>
      <c r="G880" s="82"/>
      <c r="I880"/>
      <c r="J880" s="497">
        <f>$F$70</f>
        <v>0.11108872081308177</v>
      </c>
      <c r="K880" s="84"/>
      <c r="L880" s="4" t="str">
        <f>"          INPUT TRUE-UP ARR (WITH &amp; WITHOUT INCENTIVES) FROM EACH PRIOR YEAR"</f>
        <v xml:space="preserve">          INPUT TRUE-UP ARR (WITH &amp; WITHOUT INCENTIVES) FROM EACH PRIOR YEAR</v>
      </c>
      <c r="Q880" s="84"/>
    </row>
    <row r="881" spans="1:17">
      <c r="A881" s="978"/>
      <c r="C881" s="494" t="s">
        <v>280</v>
      </c>
      <c r="D881" s="498">
        <f>H79</f>
        <v>38</v>
      </c>
      <c r="E881" s="494" t="s">
        <v>281</v>
      </c>
      <c r="F881" s="82"/>
      <c r="G881" s="82"/>
      <c r="I881"/>
      <c r="J881" s="497">
        <f>IF(H872="",J880,$F$69)</f>
        <v>0.11108872081308177</v>
      </c>
      <c r="K881" s="84"/>
      <c r="L881" s="4" t="s">
        <v>363</v>
      </c>
      <c r="M881" s="84"/>
      <c r="N881" s="84"/>
      <c r="O881" s="84"/>
      <c r="Q881" s="84"/>
    </row>
    <row r="882" spans="1:17" ht="13.5" thickBot="1">
      <c r="A882" s="978"/>
      <c r="C882" s="494" t="s">
        <v>282</v>
      </c>
      <c r="D882" s="649" t="s">
        <v>930</v>
      </c>
      <c r="E882" s="499" t="s">
        <v>283</v>
      </c>
      <c r="F882" s="500"/>
      <c r="G882" s="500"/>
      <c r="H882" s="501"/>
      <c r="I882" s="501"/>
      <c r="J882" s="488">
        <f>IF(D878=0,0,D878/D881)</f>
        <v>17203.66447368421</v>
      </c>
      <c r="K882" s="475"/>
      <c r="L882" s="475" t="s">
        <v>364</v>
      </c>
      <c r="M882" s="475"/>
      <c r="N882" s="475"/>
      <c r="O882" s="475"/>
      <c r="Q882" s="475"/>
    </row>
    <row r="883" spans="1:17" ht="38.25">
      <c r="A883" s="12"/>
      <c r="B883" s="12"/>
      <c r="C883" s="502" t="s">
        <v>273</v>
      </c>
      <c r="D883" s="503" t="s">
        <v>284</v>
      </c>
      <c r="E883" s="504" t="s">
        <v>285</v>
      </c>
      <c r="F883" s="503" t="s">
        <v>286</v>
      </c>
      <c r="G883" s="503" t="s">
        <v>459</v>
      </c>
      <c r="H883" s="504" t="s">
        <v>357</v>
      </c>
      <c r="I883" s="505" t="s">
        <v>357</v>
      </c>
      <c r="J883" s="502" t="s">
        <v>296</v>
      </c>
      <c r="K883" s="506"/>
      <c r="L883" s="504" t="s">
        <v>359</v>
      </c>
      <c r="M883" s="504" t="s">
        <v>365</v>
      </c>
      <c r="N883" s="504" t="s">
        <v>359</v>
      </c>
      <c r="O883" s="504" t="s">
        <v>367</v>
      </c>
      <c r="P883" s="504" t="s">
        <v>287</v>
      </c>
      <c r="Q883" s="131"/>
    </row>
    <row r="884" spans="1:17" ht="13.5" thickBot="1">
      <c r="C884" s="507" t="s">
        <v>178</v>
      </c>
      <c r="D884" s="508" t="s">
        <v>179</v>
      </c>
      <c r="E884" s="507" t="s">
        <v>38</v>
      </c>
      <c r="F884" s="508" t="s">
        <v>179</v>
      </c>
      <c r="G884" s="508" t="s">
        <v>179</v>
      </c>
      <c r="H884" s="509" t="s">
        <v>299</v>
      </c>
      <c r="I884" s="510" t="s">
        <v>301</v>
      </c>
      <c r="J884" s="507" t="s">
        <v>390</v>
      </c>
      <c r="K884" s="511"/>
      <c r="L884" s="509" t="s">
        <v>288</v>
      </c>
      <c r="M884" s="509" t="s">
        <v>288</v>
      </c>
      <c r="N884" s="509" t="s">
        <v>468</v>
      </c>
      <c r="O884" s="509" t="s">
        <v>468</v>
      </c>
      <c r="P884" s="509" t="s">
        <v>468</v>
      </c>
      <c r="Q884" s="138"/>
    </row>
    <row r="885" spans="1:17">
      <c r="C885" s="512">
        <f>IF(D879= "","-",D879)</f>
        <v>2018</v>
      </c>
      <c r="D885" s="477">
        <f>+D878</f>
        <v>653739.25</v>
      </c>
      <c r="E885" s="513">
        <f>+J882/12*(12-D880)</f>
        <v>10035.470942982456</v>
      </c>
      <c r="F885" s="556">
        <f t="shared" ref="F885:F944" si="81">+D885-E885</f>
        <v>643703.77905701753</v>
      </c>
      <c r="G885" s="477">
        <f t="shared" ref="G885:G944" si="82">+(D885+F885)/2</f>
        <v>648721.51452850876</v>
      </c>
      <c r="H885" s="514">
        <f>+J880*G885+E885</f>
        <v>82101.114155879535</v>
      </c>
      <c r="I885" s="515">
        <f>+J881*G885+E885</f>
        <v>82101.114155879535</v>
      </c>
      <c r="J885" s="516">
        <f t="shared" ref="J885:J944" si="83">+I885-H885</f>
        <v>0</v>
      </c>
      <c r="K885" s="516"/>
      <c r="L885" s="517">
        <v>0</v>
      </c>
      <c r="M885" s="557">
        <f t="shared" ref="M885:M944" si="84">IF(L885&lt;&gt;0,+H885-L885,0)</f>
        <v>0</v>
      </c>
      <c r="N885" s="517">
        <v>0</v>
      </c>
      <c r="O885" s="557">
        <f t="shared" ref="O885:O944" si="85">IF(N885&lt;&gt;0,+I885-N885,0)</f>
        <v>0</v>
      </c>
      <c r="P885" s="557">
        <f t="shared" ref="P885:P944" si="86">+O885-M885</f>
        <v>0</v>
      </c>
      <c r="Q885" s="479"/>
    </row>
    <row r="886" spans="1:17">
      <c r="C886" s="512">
        <f>IF(D879="","-",+C885+1)</f>
        <v>2019</v>
      </c>
      <c r="D886" s="960">
        <f t="shared" ref="D886:D944" si="87">F885</f>
        <v>643703.77905701753</v>
      </c>
      <c r="E886" s="519">
        <f>IF(D886&gt;$J$882,$J$882,D886)</f>
        <v>17203.66447368421</v>
      </c>
      <c r="F886" s="519">
        <f t="shared" si="81"/>
        <v>626500.11458333337</v>
      </c>
      <c r="G886" s="477">
        <f t="shared" si="82"/>
        <v>635101.94682017551</v>
      </c>
      <c r="H886" s="513">
        <f>+J880*G886+E886</f>
        <v>87756.327331835389</v>
      </c>
      <c r="I886" s="520">
        <f>+J881*G886+E886</f>
        <v>87756.327331835389</v>
      </c>
      <c r="J886" s="516">
        <f t="shared" si="83"/>
        <v>0</v>
      </c>
      <c r="K886" s="516"/>
      <c r="L886" s="521">
        <v>67813.107115754596</v>
      </c>
      <c r="M886" s="516">
        <f t="shared" si="84"/>
        <v>19943.220216080794</v>
      </c>
      <c r="N886" s="521">
        <v>67813.107115754596</v>
      </c>
      <c r="O886" s="516">
        <f t="shared" si="85"/>
        <v>19943.220216080794</v>
      </c>
      <c r="P886" s="516">
        <f t="shared" si="86"/>
        <v>0</v>
      </c>
      <c r="Q886" s="479"/>
    </row>
    <row r="887" spans="1:17">
      <c r="C887" s="512">
        <f>IF(D879="","-",+C886+1)</f>
        <v>2020</v>
      </c>
      <c r="D887" s="960">
        <f t="shared" si="87"/>
        <v>626500.11458333337</v>
      </c>
      <c r="E887" s="519">
        <f t="shared" ref="E887:E944" si="88">IF(D887&gt;$J$882,$J$882,D887)</f>
        <v>17203.66447368421</v>
      </c>
      <c r="F887" s="519">
        <f t="shared" si="81"/>
        <v>609296.45010964922</v>
      </c>
      <c r="G887" s="477">
        <f t="shared" si="82"/>
        <v>617898.28234649124</v>
      </c>
      <c r="H887" s="513">
        <f>+J880*G887+E887</f>
        <v>85845.194252156347</v>
      </c>
      <c r="I887" s="520">
        <f>+J881*G887+E887</f>
        <v>85845.194252156347</v>
      </c>
      <c r="J887" s="516">
        <f t="shared" si="83"/>
        <v>0</v>
      </c>
      <c r="K887" s="516"/>
      <c r="L887" s="521">
        <v>66522.420324549836</v>
      </c>
      <c r="M887" s="516">
        <f t="shared" si="84"/>
        <v>19322.773927606511</v>
      </c>
      <c r="N887" s="521">
        <v>66522.420324549836</v>
      </c>
      <c r="O887" s="516">
        <f t="shared" si="85"/>
        <v>19322.773927606511</v>
      </c>
      <c r="P887" s="516">
        <f t="shared" si="86"/>
        <v>0</v>
      </c>
      <c r="Q887" s="479"/>
    </row>
    <row r="888" spans="1:17">
      <c r="C888" s="512">
        <f>IF(D879="","-",+C887+1)</f>
        <v>2021</v>
      </c>
      <c r="D888" s="477">
        <f t="shared" si="87"/>
        <v>609296.45010964922</v>
      </c>
      <c r="E888" s="519">
        <f t="shared" si="88"/>
        <v>17203.66447368421</v>
      </c>
      <c r="F888" s="519">
        <f t="shared" si="81"/>
        <v>592092.78563596506</v>
      </c>
      <c r="G888" s="477">
        <f t="shared" si="82"/>
        <v>600694.6178728072</v>
      </c>
      <c r="H888" s="513">
        <f>+J880*G888+E888</f>
        <v>83934.061172477333</v>
      </c>
      <c r="I888" s="520">
        <f>+J881*G888+E888</f>
        <v>83934.061172477333</v>
      </c>
      <c r="J888" s="516">
        <f t="shared" si="83"/>
        <v>0</v>
      </c>
      <c r="K888" s="516"/>
      <c r="L888" s="521">
        <v>77581.849471761481</v>
      </c>
      <c r="M888" s="516">
        <f t="shared" si="84"/>
        <v>6352.2117007158522</v>
      </c>
      <c r="N888" s="521">
        <v>77581.849471761481</v>
      </c>
      <c r="O888" s="516">
        <f t="shared" si="85"/>
        <v>6352.2117007158522</v>
      </c>
      <c r="P888" s="516">
        <f t="shared" si="86"/>
        <v>0</v>
      </c>
      <c r="Q888" s="479"/>
    </row>
    <row r="889" spans="1:17">
      <c r="C889" s="512">
        <f>IF(D879="","-",+C888+1)</f>
        <v>2022</v>
      </c>
      <c r="D889" s="477">
        <f t="shared" si="87"/>
        <v>592092.78563596506</v>
      </c>
      <c r="E889" s="519">
        <f t="shared" si="88"/>
        <v>17203.66447368421</v>
      </c>
      <c r="F889" s="519">
        <f t="shared" si="81"/>
        <v>574889.12116228091</v>
      </c>
      <c r="G889" s="477">
        <f t="shared" si="82"/>
        <v>583490.95339912293</v>
      </c>
      <c r="H889" s="513">
        <f>+J880*G889+E889</f>
        <v>82022.928092798276</v>
      </c>
      <c r="I889" s="520">
        <f>+J881*G889+E889</f>
        <v>82022.928092798276</v>
      </c>
      <c r="J889" s="516">
        <f t="shared" si="83"/>
        <v>0</v>
      </c>
      <c r="K889" s="516"/>
      <c r="L889" s="521">
        <v>79218.664925898935</v>
      </c>
      <c r="M889" s="516">
        <f t="shared" si="84"/>
        <v>2804.2631668993417</v>
      </c>
      <c r="N889" s="521">
        <v>79218.664925898935</v>
      </c>
      <c r="O889" s="516">
        <f t="shared" si="85"/>
        <v>2804.2631668993417</v>
      </c>
      <c r="P889" s="516">
        <f t="shared" si="86"/>
        <v>0</v>
      </c>
      <c r="Q889" s="479"/>
    </row>
    <row r="890" spans="1:17">
      <c r="C890" s="512">
        <f>IF(D879="","-",+C889+1)</f>
        <v>2023</v>
      </c>
      <c r="D890" s="477">
        <f t="shared" si="87"/>
        <v>574889.12116228091</v>
      </c>
      <c r="E890" s="519">
        <f t="shared" si="88"/>
        <v>17203.66447368421</v>
      </c>
      <c r="F890" s="519">
        <f t="shared" si="81"/>
        <v>557685.45668859675</v>
      </c>
      <c r="G890" s="477">
        <f t="shared" si="82"/>
        <v>566287.28892543889</v>
      </c>
      <c r="H890" s="513">
        <f>+J880*G890+E890</f>
        <v>80111.795013119263</v>
      </c>
      <c r="I890" s="520">
        <f>+J881*G890+E890</f>
        <v>80111.795013119263</v>
      </c>
      <c r="J890" s="516">
        <f t="shared" si="83"/>
        <v>0</v>
      </c>
      <c r="K890" s="516"/>
      <c r="L890" s="521">
        <v>84539.280785517272</v>
      </c>
      <c r="M890" s="516">
        <f t="shared" si="84"/>
        <v>-4427.4857723980094</v>
      </c>
      <c r="N890" s="521">
        <v>84539.280785517272</v>
      </c>
      <c r="O890" s="516">
        <f t="shared" si="85"/>
        <v>-4427.4857723980094</v>
      </c>
      <c r="P890" s="516">
        <f t="shared" si="86"/>
        <v>0</v>
      </c>
      <c r="Q890" s="479"/>
    </row>
    <row r="891" spans="1:17">
      <c r="C891" s="512">
        <f>IF(D879="","-",+C890+1)</f>
        <v>2024</v>
      </c>
      <c r="D891" s="477">
        <f t="shared" si="87"/>
        <v>557685.45668859675</v>
      </c>
      <c r="E891" s="519">
        <f t="shared" si="88"/>
        <v>17203.66447368421</v>
      </c>
      <c r="F891" s="519">
        <f t="shared" si="81"/>
        <v>540481.7922149126</v>
      </c>
      <c r="G891" s="477">
        <f t="shared" si="82"/>
        <v>549083.62445175461</v>
      </c>
      <c r="H891" s="513">
        <f>+J880*G891+E891</f>
        <v>78200.66193344022</v>
      </c>
      <c r="I891" s="520">
        <f>+J881*G891+E891</f>
        <v>78200.66193344022</v>
      </c>
      <c r="J891" s="516">
        <f t="shared" si="83"/>
        <v>0</v>
      </c>
      <c r="K891" s="516"/>
      <c r="L891" s="521">
        <v>85586.21458154358</v>
      </c>
      <c r="M891" s="516">
        <f t="shared" si="84"/>
        <v>-7385.5526481033594</v>
      </c>
      <c r="N891" s="521">
        <v>85586.21458154358</v>
      </c>
      <c r="O891" s="516">
        <f t="shared" si="85"/>
        <v>-7385.5526481033594</v>
      </c>
      <c r="P891" s="516">
        <f t="shared" si="86"/>
        <v>0</v>
      </c>
      <c r="Q891" s="479"/>
    </row>
    <row r="892" spans="1:17">
      <c r="C892" s="512">
        <f>IF(D879="","-",+C891+1)</f>
        <v>2025</v>
      </c>
      <c r="D892" s="477">
        <f t="shared" si="87"/>
        <v>540481.7922149126</v>
      </c>
      <c r="E892" s="519">
        <f t="shared" si="88"/>
        <v>17203.66447368421</v>
      </c>
      <c r="F892" s="519">
        <f t="shared" si="81"/>
        <v>523278.12774122838</v>
      </c>
      <c r="G892" s="477">
        <f t="shared" si="82"/>
        <v>531879.95997807046</v>
      </c>
      <c r="H892" s="513">
        <f>+J880*G892+E892</f>
        <v>76289.528853761178</v>
      </c>
      <c r="I892" s="520">
        <f>+J881*G892+E892</f>
        <v>76289.528853761178</v>
      </c>
      <c r="J892" s="516">
        <f t="shared" si="83"/>
        <v>0</v>
      </c>
      <c r="K892" s="516"/>
      <c r="L892" s="521">
        <v>82213.905040394297</v>
      </c>
      <c r="M892" s="516">
        <f t="shared" si="84"/>
        <v>-5924.3761866331188</v>
      </c>
      <c r="N892" s="521">
        <v>82213.905040394297</v>
      </c>
      <c r="O892" s="516">
        <f t="shared" si="85"/>
        <v>-5924.3761866331188</v>
      </c>
      <c r="P892" s="516">
        <f t="shared" si="86"/>
        <v>0</v>
      </c>
      <c r="Q892" s="479"/>
    </row>
    <row r="893" spans="1:17">
      <c r="C893" s="512">
        <f>IF(D879="","-",+C892+1)</f>
        <v>2026</v>
      </c>
      <c r="D893" s="477">
        <f t="shared" si="87"/>
        <v>523278.12774122838</v>
      </c>
      <c r="E893" s="519">
        <f t="shared" si="88"/>
        <v>17203.66447368421</v>
      </c>
      <c r="F893" s="519">
        <f t="shared" si="81"/>
        <v>506074.46326754417</v>
      </c>
      <c r="G893" s="477">
        <f t="shared" si="82"/>
        <v>514676.2955043863</v>
      </c>
      <c r="H893" s="513">
        <f>+J880*G893+E893</f>
        <v>74378.39577408215</v>
      </c>
      <c r="I893" s="520">
        <f>+J881*G893+E893</f>
        <v>74378.39577408215</v>
      </c>
      <c r="J893" s="516">
        <f t="shared" si="83"/>
        <v>0</v>
      </c>
      <c r="K893" s="516"/>
      <c r="L893" s="521"/>
      <c r="M893" s="516">
        <f t="shared" si="84"/>
        <v>0</v>
      </c>
      <c r="N893" s="521"/>
      <c r="O893" s="516">
        <f t="shared" si="85"/>
        <v>0</v>
      </c>
      <c r="P893" s="516">
        <f t="shared" si="86"/>
        <v>0</v>
      </c>
      <c r="Q893" s="479"/>
    </row>
    <row r="894" spans="1:17">
      <c r="C894" s="512">
        <f>IF(D879="","-",+C893+1)</f>
        <v>2027</v>
      </c>
      <c r="D894" s="477">
        <f t="shared" si="87"/>
        <v>506074.46326754417</v>
      </c>
      <c r="E894" s="519">
        <f t="shared" si="88"/>
        <v>17203.66447368421</v>
      </c>
      <c r="F894" s="519">
        <f t="shared" si="81"/>
        <v>488870.79879385995</v>
      </c>
      <c r="G894" s="477">
        <f t="shared" si="82"/>
        <v>497472.63103070203</v>
      </c>
      <c r="H894" s="513">
        <f>+J880*G894+E894</f>
        <v>72467.262694403107</v>
      </c>
      <c r="I894" s="520">
        <f>+J881*G894+E894</f>
        <v>72467.262694403107</v>
      </c>
      <c r="J894" s="516">
        <f t="shared" si="83"/>
        <v>0</v>
      </c>
      <c r="K894" s="516"/>
      <c r="L894" s="521"/>
      <c r="M894" s="516">
        <f t="shared" si="84"/>
        <v>0</v>
      </c>
      <c r="N894" s="521"/>
      <c r="O894" s="516">
        <f t="shared" si="85"/>
        <v>0</v>
      </c>
      <c r="P894" s="516">
        <f t="shared" si="86"/>
        <v>0</v>
      </c>
      <c r="Q894" s="479"/>
    </row>
    <row r="895" spans="1:17">
      <c r="C895" s="512">
        <f>IF(D879="","-",+C894+1)</f>
        <v>2028</v>
      </c>
      <c r="D895" s="477">
        <f t="shared" si="87"/>
        <v>488870.79879385995</v>
      </c>
      <c r="E895" s="519">
        <f t="shared" si="88"/>
        <v>17203.66447368421</v>
      </c>
      <c r="F895" s="519">
        <f t="shared" si="81"/>
        <v>471667.13432017574</v>
      </c>
      <c r="G895" s="477">
        <f t="shared" si="82"/>
        <v>480268.96655701788</v>
      </c>
      <c r="H895" s="513">
        <f>+J880*G895+E895</f>
        <v>70556.129614724079</v>
      </c>
      <c r="I895" s="520">
        <f>+J881*G895+E895</f>
        <v>70556.129614724079</v>
      </c>
      <c r="J895" s="516">
        <f t="shared" si="83"/>
        <v>0</v>
      </c>
      <c r="K895" s="516"/>
      <c r="L895" s="521"/>
      <c r="M895" s="516">
        <f t="shared" si="84"/>
        <v>0</v>
      </c>
      <c r="N895" s="521"/>
      <c r="O895" s="516">
        <f t="shared" si="85"/>
        <v>0</v>
      </c>
      <c r="P895" s="516">
        <f t="shared" si="86"/>
        <v>0</v>
      </c>
      <c r="Q895" s="479"/>
    </row>
    <row r="896" spans="1:17">
      <c r="C896" s="512">
        <f>IF(D879="","-",+C895+1)</f>
        <v>2029</v>
      </c>
      <c r="D896" s="477">
        <f t="shared" si="87"/>
        <v>471667.13432017574</v>
      </c>
      <c r="E896" s="519">
        <f t="shared" si="88"/>
        <v>17203.66447368421</v>
      </c>
      <c r="F896" s="519">
        <f t="shared" si="81"/>
        <v>454463.46984649153</v>
      </c>
      <c r="G896" s="477">
        <f t="shared" si="82"/>
        <v>463065.3020833336</v>
      </c>
      <c r="H896" s="513">
        <f>+J880*G896+E896</f>
        <v>68644.996535045022</v>
      </c>
      <c r="I896" s="520">
        <f>+J881*G896+E896</f>
        <v>68644.996535045022</v>
      </c>
      <c r="J896" s="516">
        <f t="shared" si="83"/>
        <v>0</v>
      </c>
      <c r="K896" s="516"/>
      <c r="L896" s="521"/>
      <c r="M896" s="516">
        <f t="shared" si="84"/>
        <v>0</v>
      </c>
      <c r="N896" s="521"/>
      <c r="O896" s="516">
        <f t="shared" si="85"/>
        <v>0</v>
      </c>
      <c r="P896" s="516">
        <f t="shared" si="86"/>
        <v>0</v>
      </c>
      <c r="Q896" s="479"/>
    </row>
    <row r="897" spans="3:17">
      <c r="C897" s="512">
        <f>IF(D879="","-",+C896+1)</f>
        <v>2030</v>
      </c>
      <c r="D897" s="477">
        <f t="shared" si="87"/>
        <v>454463.46984649153</v>
      </c>
      <c r="E897" s="519">
        <f t="shared" si="88"/>
        <v>17203.66447368421</v>
      </c>
      <c r="F897" s="519">
        <f t="shared" si="81"/>
        <v>437259.80537280731</v>
      </c>
      <c r="G897" s="477">
        <f t="shared" si="82"/>
        <v>445861.63760964945</v>
      </c>
      <c r="H897" s="513">
        <f>+J880*G897+E897</f>
        <v>66733.863455365994</v>
      </c>
      <c r="I897" s="520">
        <f>+J881*G897+E897</f>
        <v>66733.863455365994</v>
      </c>
      <c r="J897" s="516">
        <f t="shared" si="83"/>
        <v>0</v>
      </c>
      <c r="K897" s="516"/>
      <c r="L897" s="521"/>
      <c r="M897" s="516">
        <f t="shared" si="84"/>
        <v>0</v>
      </c>
      <c r="N897" s="521"/>
      <c r="O897" s="516">
        <f t="shared" si="85"/>
        <v>0</v>
      </c>
      <c r="P897" s="516">
        <f t="shared" si="86"/>
        <v>0</v>
      </c>
      <c r="Q897" s="479"/>
    </row>
    <row r="898" spans="3:17">
      <c r="C898" s="512">
        <f>IF(D879="","-",+C897+1)</f>
        <v>2031</v>
      </c>
      <c r="D898" s="477">
        <f t="shared" si="87"/>
        <v>437259.80537280731</v>
      </c>
      <c r="E898" s="519">
        <f t="shared" si="88"/>
        <v>17203.66447368421</v>
      </c>
      <c r="F898" s="519">
        <f t="shared" si="81"/>
        <v>420056.1408991231</v>
      </c>
      <c r="G898" s="477">
        <f t="shared" si="82"/>
        <v>428657.97313596518</v>
      </c>
      <c r="H898" s="513">
        <f>+J880*G898+E898</f>
        <v>64822.730375686951</v>
      </c>
      <c r="I898" s="520">
        <f>+J881*G898+E898</f>
        <v>64822.730375686951</v>
      </c>
      <c r="J898" s="516">
        <f t="shared" si="83"/>
        <v>0</v>
      </c>
      <c r="K898" s="516"/>
      <c r="L898" s="521"/>
      <c r="M898" s="516">
        <f t="shared" si="84"/>
        <v>0</v>
      </c>
      <c r="N898" s="521"/>
      <c r="O898" s="516">
        <f t="shared" si="85"/>
        <v>0</v>
      </c>
      <c r="P898" s="516">
        <f t="shared" si="86"/>
        <v>0</v>
      </c>
      <c r="Q898" s="479"/>
    </row>
    <row r="899" spans="3:17">
      <c r="C899" s="512">
        <f>IF(D879="","-",+C898+1)</f>
        <v>2032</v>
      </c>
      <c r="D899" s="477">
        <f t="shared" si="87"/>
        <v>420056.1408991231</v>
      </c>
      <c r="E899" s="519">
        <f t="shared" si="88"/>
        <v>17203.66447368421</v>
      </c>
      <c r="F899" s="519">
        <f t="shared" si="81"/>
        <v>402852.47642543889</v>
      </c>
      <c r="G899" s="477">
        <f t="shared" si="82"/>
        <v>411454.30866228102</v>
      </c>
      <c r="H899" s="513">
        <f>+J880*G899+E899</f>
        <v>62911.597296007923</v>
      </c>
      <c r="I899" s="520">
        <f>+J881*G899+E899</f>
        <v>62911.597296007923</v>
      </c>
      <c r="J899" s="516">
        <f t="shared" si="83"/>
        <v>0</v>
      </c>
      <c r="K899" s="516"/>
      <c r="L899" s="521"/>
      <c r="M899" s="516">
        <f t="shared" si="84"/>
        <v>0</v>
      </c>
      <c r="N899" s="521"/>
      <c r="O899" s="516">
        <f t="shared" si="85"/>
        <v>0</v>
      </c>
      <c r="P899" s="516">
        <f t="shared" si="86"/>
        <v>0</v>
      </c>
      <c r="Q899" s="479"/>
    </row>
    <row r="900" spans="3:17">
      <c r="C900" s="512">
        <f>IF(D879="","-",+C899+1)</f>
        <v>2033</v>
      </c>
      <c r="D900" s="477">
        <f t="shared" si="87"/>
        <v>402852.47642543889</v>
      </c>
      <c r="E900" s="519">
        <f t="shared" si="88"/>
        <v>17203.66447368421</v>
      </c>
      <c r="F900" s="519">
        <f t="shared" si="81"/>
        <v>385648.81195175467</v>
      </c>
      <c r="G900" s="477">
        <f t="shared" si="82"/>
        <v>394250.64418859675</v>
      </c>
      <c r="H900" s="513">
        <f>+J880*G900+E900</f>
        <v>61000.464216328866</v>
      </c>
      <c r="I900" s="520">
        <f>+J881*G900+E900</f>
        <v>61000.464216328866</v>
      </c>
      <c r="J900" s="516">
        <f t="shared" si="83"/>
        <v>0</v>
      </c>
      <c r="K900" s="516"/>
      <c r="L900" s="521"/>
      <c r="M900" s="516">
        <f t="shared" si="84"/>
        <v>0</v>
      </c>
      <c r="N900" s="521"/>
      <c r="O900" s="516">
        <f t="shared" si="85"/>
        <v>0</v>
      </c>
      <c r="P900" s="516">
        <f t="shared" si="86"/>
        <v>0</v>
      </c>
      <c r="Q900" s="479"/>
    </row>
    <row r="901" spans="3:17">
      <c r="C901" s="512">
        <f>IF(D879="","-",+C900+1)</f>
        <v>2034</v>
      </c>
      <c r="D901" s="477">
        <f t="shared" si="87"/>
        <v>385648.81195175467</v>
      </c>
      <c r="E901" s="519">
        <f t="shared" si="88"/>
        <v>17203.66447368421</v>
      </c>
      <c r="F901" s="519">
        <f t="shared" si="81"/>
        <v>368445.14747807046</v>
      </c>
      <c r="G901" s="477">
        <f t="shared" si="82"/>
        <v>377046.9797149126</v>
      </c>
      <c r="H901" s="513">
        <f>+J880*G901+E901</f>
        <v>59089.331136649838</v>
      </c>
      <c r="I901" s="520">
        <f>+J881*G901+E901</f>
        <v>59089.331136649838</v>
      </c>
      <c r="J901" s="516">
        <f t="shared" si="83"/>
        <v>0</v>
      </c>
      <c r="K901" s="516"/>
      <c r="L901" s="521"/>
      <c r="M901" s="516">
        <f t="shared" si="84"/>
        <v>0</v>
      </c>
      <c r="N901" s="521"/>
      <c r="O901" s="516">
        <f t="shared" si="85"/>
        <v>0</v>
      </c>
      <c r="P901" s="516">
        <f t="shared" si="86"/>
        <v>0</v>
      </c>
      <c r="Q901" s="479"/>
    </row>
    <row r="902" spans="3:17">
      <c r="C902" s="512">
        <f>IF(D879="","-",+C901+1)</f>
        <v>2035</v>
      </c>
      <c r="D902" s="477">
        <f t="shared" si="87"/>
        <v>368445.14747807046</v>
      </c>
      <c r="E902" s="519">
        <f t="shared" si="88"/>
        <v>17203.66447368421</v>
      </c>
      <c r="F902" s="519">
        <f t="shared" si="81"/>
        <v>351241.48300438625</v>
      </c>
      <c r="G902" s="477">
        <f t="shared" si="82"/>
        <v>359843.31524122832</v>
      </c>
      <c r="H902" s="513">
        <f>+J880*G902+E902</f>
        <v>57178.198056970796</v>
      </c>
      <c r="I902" s="520">
        <f>+J881*G902+E902</f>
        <v>57178.198056970796</v>
      </c>
      <c r="J902" s="516">
        <f t="shared" si="83"/>
        <v>0</v>
      </c>
      <c r="K902" s="516"/>
      <c r="L902" s="521"/>
      <c r="M902" s="516">
        <f t="shared" si="84"/>
        <v>0</v>
      </c>
      <c r="N902" s="521"/>
      <c r="O902" s="516">
        <f t="shared" si="85"/>
        <v>0</v>
      </c>
      <c r="P902" s="516">
        <f t="shared" si="86"/>
        <v>0</v>
      </c>
      <c r="Q902" s="479"/>
    </row>
    <row r="903" spans="3:17">
      <c r="C903" s="512">
        <f>IF(D879="","-",+C902+1)</f>
        <v>2036</v>
      </c>
      <c r="D903" s="477">
        <f t="shared" si="87"/>
        <v>351241.48300438625</v>
      </c>
      <c r="E903" s="519">
        <f t="shared" si="88"/>
        <v>17203.66447368421</v>
      </c>
      <c r="F903" s="519">
        <f t="shared" si="81"/>
        <v>334037.81853070203</v>
      </c>
      <c r="G903" s="477">
        <f t="shared" si="82"/>
        <v>342639.65076754417</v>
      </c>
      <c r="H903" s="513">
        <f>+J880*G903+E903</f>
        <v>55267.064977291768</v>
      </c>
      <c r="I903" s="520">
        <f>+J881*G903+E903</f>
        <v>55267.064977291768</v>
      </c>
      <c r="J903" s="516">
        <f t="shared" si="83"/>
        <v>0</v>
      </c>
      <c r="K903" s="516"/>
      <c r="L903" s="521"/>
      <c r="M903" s="516">
        <f t="shared" si="84"/>
        <v>0</v>
      </c>
      <c r="N903" s="521"/>
      <c r="O903" s="516">
        <f t="shared" si="85"/>
        <v>0</v>
      </c>
      <c r="P903" s="516">
        <f t="shared" si="86"/>
        <v>0</v>
      </c>
      <c r="Q903" s="479"/>
    </row>
    <row r="904" spans="3:17">
      <c r="C904" s="512">
        <f>IF(D879="","-",+C903+1)</f>
        <v>2037</v>
      </c>
      <c r="D904" s="477">
        <f t="shared" si="87"/>
        <v>334037.81853070203</v>
      </c>
      <c r="E904" s="519">
        <f t="shared" si="88"/>
        <v>17203.66447368421</v>
      </c>
      <c r="F904" s="519">
        <f t="shared" si="81"/>
        <v>316834.15405701782</v>
      </c>
      <c r="G904" s="477">
        <f t="shared" si="82"/>
        <v>325435.9862938599</v>
      </c>
      <c r="H904" s="513">
        <f>+J880*G904+E904</f>
        <v>53355.931897612711</v>
      </c>
      <c r="I904" s="520">
        <f>+J881*G904+E904</f>
        <v>53355.931897612711</v>
      </c>
      <c r="J904" s="516">
        <f t="shared" si="83"/>
        <v>0</v>
      </c>
      <c r="K904" s="516"/>
      <c r="L904" s="521"/>
      <c r="M904" s="516">
        <f t="shared" si="84"/>
        <v>0</v>
      </c>
      <c r="N904" s="521"/>
      <c r="O904" s="516">
        <f t="shared" si="85"/>
        <v>0</v>
      </c>
      <c r="P904" s="516">
        <f t="shared" si="86"/>
        <v>0</v>
      </c>
      <c r="Q904" s="479"/>
    </row>
    <row r="905" spans="3:17">
      <c r="C905" s="512">
        <f>IF(D879="","-",+C904+1)</f>
        <v>2038</v>
      </c>
      <c r="D905" s="477">
        <f t="shared" si="87"/>
        <v>316834.15405701782</v>
      </c>
      <c r="E905" s="519">
        <f t="shared" si="88"/>
        <v>17203.66447368421</v>
      </c>
      <c r="F905" s="519">
        <f t="shared" si="81"/>
        <v>299630.4895833336</v>
      </c>
      <c r="G905" s="477">
        <f t="shared" si="82"/>
        <v>308232.32182017574</v>
      </c>
      <c r="H905" s="513">
        <f>+J880*G905+E905</f>
        <v>51444.798817933683</v>
      </c>
      <c r="I905" s="520">
        <f>+J881*G905+E905</f>
        <v>51444.798817933683</v>
      </c>
      <c r="J905" s="516">
        <f t="shared" si="83"/>
        <v>0</v>
      </c>
      <c r="K905" s="516"/>
      <c r="L905" s="521"/>
      <c r="M905" s="516">
        <f t="shared" si="84"/>
        <v>0</v>
      </c>
      <c r="N905" s="521"/>
      <c r="O905" s="516">
        <f t="shared" si="85"/>
        <v>0</v>
      </c>
      <c r="P905" s="516">
        <f t="shared" si="86"/>
        <v>0</v>
      </c>
      <c r="Q905" s="479"/>
    </row>
    <row r="906" spans="3:17">
      <c r="C906" s="512">
        <f>IF(D879="","-",+C905+1)</f>
        <v>2039</v>
      </c>
      <c r="D906" s="477">
        <f t="shared" si="87"/>
        <v>299630.4895833336</v>
      </c>
      <c r="E906" s="519">
        <f t="shared" si="88"/>
        <v>17203.66447368421</v>
      </c>
      <c r="F906" s="519">
        <f t="shared" si="81"/>
        <v>282426.82510964939</v>
      </c>
      <c r="G906" s="477">
        <f t="shared" si="82"/>
        <v>291028.65734649147</v>
      </c>
      <c r="H906" s="513">
        <f>+J880*G906+E906</f>
        <v>49533.66573825464</v>
      </c>
      <c r="I906" s="520">
        <f>+J881*G906+E906</f>
        <v>49533.66573825464</v>
      </c>
      <c r="J906" s="516">
        <f t="shared" si="83"/>
        <v>0</v>
      </c>
      <c r="K906" s="516"/>
      <c r="L906" s="521"/>
      <c r="M906" s="516">
        <f t="shared" si="84"/>
        <v>0</v>
      </c>
      <c r="N906" s="521"/>
      <c r="O906" s="516">
        <f t="shared" si="85"/>
        <v>0</v>
      </c>
      <c r="P906" s="516">
        <f t="shared" si="86"/>
        <v>0</v>
      </c>
      <c r="Q906" s="479"/>
    </row>
    <row r="907" spans="3:17">
      <c r="C907" s="512">
        <f>IF(D879="","-",+C906+1)</f>
        <v>2040</v>
      </c>
      <c r="D907" s="477">
        <f t="shared" si="87"/>
        <v>282426.82510964939</v>
      </c>
      <c r="E907" s="519">
        <f t="shared" si="88"/>
        <v>17203.66447368421</v>
      </c>
      <c r="F907" s="519">
        <f t="shared" si="81"/>
        <v>265223.16063596518</v>
      </c>
      <c r="G907" s="477">
        <f t="shared" si="82"/>
        <v>273824.99287280731</v>
      </c>
      <c r="H907" s="513">
        <f>+J880*G907+E907</f>
        <v>47622.532658575612</v>
      </c>
      <c r="I907" s="520">
        <f>+J881*G907+E907</f>
        <v>47622.532658575612</v>
      </c>
      <c r="J907" s="516">
        <f t="shared" si="83"/>
        <v>0</v>
      </c>
      <c r="K907" s="516"/>
      <c r="L907" s="521"/>
      <c r="M907" s="516">
        <f t="shared" si="84"/>
        <v>0</v>
      </c>
      <c r="N907" s="521"/>
      <c r="O907" s="516">
        <f t="shared" si="85"/>
        <v>0</v>
      </c>
      <c r="P907" s="516">
        <f t="shared" si="86"/>
        <v>0</v>
      </c>
      <c r="Q907" s="479"/>
    </row>
    <row r="908" spans="3:17">
      <c r="C908" s="512">
        <f>IF(D879="","-",+C907+1)</f>
        <v>2041</v>
      </c>
      <c r="D908" s="477">
        <f t="shared" si="87"/>
        <v>265223.16063596518</v>
      </c>
      <c r="E908" s="519">
        <f t="shared" si="88"/>
        <v>17203.66447368421</v>
      </c>
      <c r="F908" s="519">
        <f t="shared" si="81"/>
        <v>248019.49616228096</v>
      </c>
      <c r="G908" s="477">
        <f t="shared" si="82"/>
        <v>256621.32839912307</v>
      </c>
      <c r="H908" s="513">
        <f>+J880*G908+E908</f>
        <v>45711.399578896569</v>
      </c>
      <c r="I908" s="520">
        <f>+J881*G908+E908</f>
        <v>45711.399578896569</v>
      </c>
      <c r="J908" s="516">
        <f t="shared" si="83"/>
        <v>0</v>
      </c>
      <c r="K908" s="516"/>
      <c r="L908" s="521"/>
      <c r="M908" s="516">
        <f t="shared" si="84"/>
        <v>0</v>
      </c>
      <c r="N908" s="521"/>
      <c r="O908" s="516">
        <f t="shared" si="85"/>
        <v>0</v>
      </c>
      <c r="P908" s="516">
        <f t="shared" si="86"/>
        <v>0</v>
      </c>
      <c r="Q908" s="479"/>
    </row>
    <row r="909" spans="3:17">
      <c r="C909" s="512">
        <f>IF(D879="","-",+C908+1)</f>
        <v>2042</v>
      </c>
      <c r="D909" s="477">
        <f t="shared" si="87"/>
        <v>248019.49616228096</v>
      </c>
      <c r="E909" s="519">
        <f t="shared" si="88"/>
        <v>17203.66447368421</v>
      </c>
      <c r="F909" s="519">
        <f t="shared" si="81"/>
        <v>230815.83168859675</v>
      </c>
      <c r="G909" s="477">
        <f t="shared" si="82"/>
        <v>239417.66392543886</v>
      </c>
      <c r="H909" s="513">
        <f>+J880*G909+E909</f>
        <v>43800.266499217527</v>
      </c>
      <c r="I909" s="520">
        <f>+J881*G909+E909</f>
        <v>43800.266499217527</v>
      </c>
      <c r="J909" s="516">
        <f t="shared" si="83"/>
        <v>0</v>
      </c>
      <c r="K909" s="516"/>
      <c r="L909" s="521"/>
      <c r="M909" s="516">
        <f t="shared" si="84"/>
        <v>0</v>
      </c>
      <c r="N909" s="521"/>
      <c r="O909" s="516">
        <f t="shared" si="85"/>
        <v>0</v>
      </c>
      <c r="P909" s="516">
        <f t="shared" si="86"/>
        <v>0</v>
      </c>
      <c r="Q909" s="479"/>
    </row>
    <row r="910" spans="3:17">
      <c r="C910" s="512">
        <f>IF(D879="","-",+C909+1)</f>
        <v>2043</v>
      </c>
      <c r="D910" s="477">
        <f t="shared" si="87"/>
        <v>230815.83168859675</v>
      </c>
      <c r="E910" s="519">
        <f t="shared" si="88"/>
        <v>17203.66447368421</v>
      </c>
      <c r="F910" s="519">
        <f t="shared" si="81"/>
        <v>213612.16721491254</v>
      </c>
      <c r="G910" s="477">
        <f t="shared" si="82"/>
        <v>222213.99945175464</v>
      </c>
      <c r="H910" s="513">
        <f>+J880*G910+E910</f>
        <v>41889.133419538484</v>
      </c>
      <c r="I910" s="520">
        <f>+J881*G910+E910</f>
        <v>41889.133419538484</v>
      </c>
      <c r="J910" s="516">
        <f t="shared" si="83"/>
        <v>0</v>
      </c>
      <c r="K910" s="516"/>
      <c r="L910" s="521"/>
      <c r="M910" s="516">
        <f t="shared" si="84"/>
        <v>0</v>
      </c>
      <c r="N910" s="521"/>
      <c r="O910" s="516">
        <f t="shared" si="85"/>
        <v>0</v>
      </c>
      <c r="P910" s="516">
        <f t="shared" si="86"/>
        <v>0</v>
      </c>
      <c r="Q910" s="479"/>
    </row>
    <row r="911" spans="3:17">
      <c r="C911" s="512">
        <f>IF(D879="","-",+C910+1)</f>
        <v>2044</v>
      </c>
      <c r="D911" s="477">
        <f t="shared" si="87"/>
        <v>213612.16721491254</v>
      </c>
      <c r="E911" s="519">
        <f t="shared" si="88"/>
        <v>17203.66447368421</v>
      </c>
      <c r="F911" s="519">
        <f t="shared" si="81"/>
        <v>196408.50274122832</v>
      </c>
      <c r="G911" s="477">
        <f t="shared" si="82"/>
        <v>205010.33497807043</v>
      </c>
      <c r="H911" s="513">
        <f>+J880*G911+E911</f>
        <v>39978.000339859449</v>
      </c>
      <c r="I911" s="520">
        <f>+J881*G911+E911</f>
        <v>39978.000339859449</v>
      </c>
      <c r="J911" s="516">
        <f t="shared" si="83"/>
        <v>0</v>
      </c>
      <c r="K911" s="516"/>
      <c r="L911" s="521"/>
      <c r="M911" s="516">
        <f t="shared" si="84"/>
        <v>0</v>
      </c>
      <c r="N911" s="521"/>
      <c r="O911" s="516">
        <f t="shared" si="85"/>
        <v>0</v>
      </c>
      <c r="P911" s="516">
        <f t="shared" si="86"/>
        <v>0</v>
      </c>
      <c r="Q911" s="479"/>
    </row>
    <row r="912" spans="3:17">
      <c r="C912" s="512">
        <f>IF(D879="","-",+C911+1)</f>
        <v>2045</v>
      </c>
      <c r="D912" s="477">
        <f t="shared" si="87"/>
        <v>196408.50274122832</v>
      </c>
      <c r="E912" s="519">
        <f t="shared" si="88"/>
        <v>17203.66447368421</v>
      </c>
      <c r="F912" s="519">
        <f t="shared" si="81"/>
        <v>179204.83826754411</v>
      </c>
      <c r="G912" s="477">
        <f t="shared" si="82"/>
        <v>187806.67050438622</v>
      </c>
      <c r="H912" s="513">
        <f>+J880*G912+E912</f>
        <v>38066.867260180414</v>
      </c>
      <c r="I912" s="520">
        <f>+J881*G912+E912</f>
        <v>38066.867260180414</v>
      </c>
      <c r="J912" s="516">
        <f t="shared" si="83"/>
        <v>0</v>
      </c>
      <c r="K912" s="516"/>
      <c r="L912" s="521"/>
      <c r="M912" s="516">
        <f t="shared" si="84"/>
        <v>0</v>
      </c>
      <c r="N912" s="521"/>
      <c r="O912" s="516">
        <f t="shared" si="85"/>
        <v>0</v>
      </c>
      <c r="P912" s="516">
        <f t="shared" si="86"/>
        <v>0</v>
      </c>
      <c r="Q912" s="479"/>
    </row>
    <row r="913" spans="3:17">
      <c r="C913" s="512">
        <f>IF(D879="","-",+C912+1)</f>
        <v>2046</v>
      </c>
      <c r="D913" s="477">
        <f t="shared" si="87"/>
        <v>179204.83826754411</v>
      </c>
      <c r="E913" s="519">
        <f t="shared" si="88"/>
        <v>17203.66447368421</v>
      </c>
      <c r="F913" s="519">
        <f t="shared" si="81"/>
        <v>162001.1737938599</v>
      </c>
      <c r="G913" s="477">
        <f t="shared" si="82"/>
        <v>170603.006030702</v>
      </c>
      <c r="H913" s="513">
        <f>+J880*G913+E913</f>
        <v>36155.734180501371</v>
      </c>
      <c r="I913" s="520">
        <f>+J881*G913+E913</f>
        <v>36155.734180501371</v>
      </c>
      <c r="J913" s="516">
        <f t="shared" si="83"/>
        <v>0</v>
      </c>
      <c r="K913" s="516"/>
      <c r="L913" s="521"/>
      <c r="M913" s="516">
        <f t="shared" si="84"/>
        <v>0</v>
      </c>
      <c r="N913" s="521"/>
      <c r="O913" s="516">
        <f t="shared" si="85"/>
        <v>0</v>
      </c>
      <c r="P913" s="516">
        <f t="shared" si="86"/>
        <v>0</v>
      </c>
      <c r="Q913" s="479"/>
    </row>
    <row r="914" spans="3:17">
      <c r="C914" s="512">
        <f>IF(D879="","-",+C913+1)</f>
        <v>2047</v>
      </c>
      <c r="D914" s="477">
        <f t="shared" si="87"/>
        <v>162001.1737938599</v>
      </c>
      <c r="E914" s="519">
        <f t="shared" si="88"/>
        <v>17203.66447368421</v>
      </c>
      <c r="F914" s="519">
        <f t="shared" si="81"/>
        <v>144797.50932017568</v>
      </c>
      <c r="G914" s="477">
        <f t="shared" si="82"/>
        <v>153399.34155701779</v>
      </c>
      <c r="H914" s="513">
        <f>+J880*G914+E914</f>
        <v>34244.601100822329</v>
      </c>
      <c r="I914" s="520">
        <f>+J881*G914+E914</f>
        <v>34244.601100822329</v>
      </c>
      <c r="J914" s="516">
        <f t="shared" si="83"/>
        <v>0</v>
      </c>
      <c r="K914" s="516"/>
      <c r="L914" s="521"/>
      <c r="M914" s="516">
        <f t="shared" si="84"/>
        <v>0</v>
      </c>
      <c r="N914" s="521"/>
      <c r="O914" s="516">
        <f t="shared" si="85"/>
        <v>0</v>
      </c>
      <c r="P914" s="516">
        <f t="shared" si="86"/>
        <v>0</v>
      </c>
      <c r="Q914" s="479"/>
    </row>
    <row r="915" spans="3:17">
      <c r="C915" s="512">
        <f>IF(D879="","-",+C914+1)</f>
        <v>2048</v>
      </c>
      <c r="D915" s="477">
        <f t="shared" si="87"/>
        <v>144797.50932017568</v>
      </c>
      <c r="E915" s="519">
        <f t="shared" si="88"/>
        <v>17203.66447368421</v>
      </c>
      <c r="F915" s="519">
        <f t="shared" si="81"/>
        <v>127593.84484649147</v>
      </c>
      <c r="G915" s="477">
        <f t="shared" si="82"/>
        <v>136195.67708333358</v>
      </c>
      <c r="H915" s="513">
        <f>+J880*G915+E915</f>
        <v>32333.468021143293</v>
      </c>
      <c r="I915" s="520">
        <f>+J881*G915+E915</f>
        <v>32333.468021143293</v>
      </c>
      <c r="J915" s="516">
        <f t="shared" si="83"/>
        <v>0</v>
      </c>
      <c r="K915" s="516"/>
      <c r="L915" s="521"/>
      <c r="M915" s="516">
        <f t="shared" si="84"/>
        <v>0</v>
      </c>
      <c r="N915" s="521"/>
      <c r="O915" s="516">
        <f t="shared" si="85"/>
        <v>0</v>
      </c>
      <c r="P915" s="516">
        <f t="shared" si="86"/>
        <v>0</v>
      </c>
      <c r="Q915" s="479"/>
    </row>
    <row r="916" spans="3:17">
      <c r="C916" s="512">
        <f>IF(D879="","-",+C915+1)</f>
        <v>2049</v>
      </c>
      <c r="D916" s="477">
        <f t="shared" si="87"/>
        <v>127593.84484649147</v>
      </c>
      <c r="E916" s="519">
        <f t="shared" si="88"/>
        <v>17203.66447368421</v>
      </c>
      <c r="F916" s="519">
        <f t="shared" si="81"/>
        <v>110390.18037280726</v>
      </c>
      <c r="G916" s="477">
        <f t="shared" si="82"/>
        <v>118992.01260964936</v>
      </c>
      <c r="H916" s="513">
        <f>+J880*G916+E916</f>
        <v>30422.334941464254</v>
      </c>
      <c r="I916" s="520">
        <f>+J881*G916+E916</f>
        <v>30422.334941464254</v>
      </c>
      <c r="J916" s="516">
        <f t="shared" si="83"/>
        <v>0</v>
      </c>
      <c r="K916" s="516"/>
      <c r="L916" s="521"/>
      <c r="M916" s="516">
        <f t="shared" si="84"/>
        <v>0</v>
      </c>
      <c r="N916" s="521"/>
      <c r="O916" s="516">
        <f t="shared" si="85"/>
        <v>0</v>
      </c>
      <c r="P916" s="516">
        <f t="shared" si="86"/>
        <v>0</v>
      </c>
      <c r="Q916" s="479"/>
    </row>
    <row r="917" spans="3:17">
      <c r="C917" s="512">
        <f>IF(D879="","-",+C916+1)</f>
        <v>2050</v>
      </c>
      <c r="D917" s="477">
        <f t="shared" si="87"/>
        <v>110390.18037280726</v>
      </c>
      <c r="E917" s="519">
        <f t="shared" si="88"/>
        <v>17203.66447368421</v>
      </c>
      <c r="F917" s="519">
        <f t="shared" si="81"/>
        <v>93186.515899123042</v>
      </c>
      <c r="G917" s="477">
        <f t="shared" si="82"/>
        <v>101788.34813596515</v>
      </c>
      <c r="H917" s="513">
        <f>+J880*G917+E917</f>
        <v>28511.201861785215</v>
      </c>
      <c r="I917" s="520">
        <f>+J881*G917+E917</f>
        <v>28511.201861785215</v>
      </c>
      <c r="J917" s="516">
        <f t="shared" si="83"/>
        <v>0</v>
      </c>
      <c r="K917" s="516"/>
      <c r="L917" s="521"/>
      <c r="M917" s="516">
        <f t="shared" si="84"/>
        <v>0</v>
      </c>
      <c r="N917" s="521"/>
      <c r="O917" s="516">
        <f t="shared" si="85"/>
        <v>0</v>
      </c>
      <c r="P917" s="516">
        <f t="shared" si="86"/>
        <v>0</v>
      </c>
      <c r="Q917" s="479"/>
    </row>
    <row r="918" spans="3:17">
      <c r="C918" s="512">
        <f>IF(D879="","-",+C917+1)</f>
        <v>2051</v>
      </c>
      <c r="D918" s="477">
        <f t="shared" si="87"/>
        <v>93186.515899123042</v>
      </c>
      <c r="E918" s="519">
        <f t="shared" si="88"/>
        <v>17203.66447368421</v>
      </c>
      <c r="F918" s="519">
        <f t="shared" si="81"/>
        <v>75982.851425438828</v>
      </c>
      <c r="G918" s="477">
        <f t="shared" si="82"/>
        <v>84584.683662280935</v>
      </c>
      <c r="H918" s="513">
        <f>+J880*G918+E918</f>
        <v>26600.068782106177</v>
      </c>
      <c r="I918" s="520">
        <f>+J881*G918+E918</f>
        <v>26600.068782106177</v>
      </c>
      <c r="J918" s="516">
        <f t="shared" si="83"/>
        <v>0</v>
      </c>
      <c r="K918" s="516"/>
      <c r="L918" s="521"/>
      <c r="M918" s="516">
        <f t="shared" si="84"/>
        <v>0</v>
      </c>
      <c r="N918" s="521"/>
      <c r="O918" s="516">
        <f t="shared" si="85"/>
        <v>0</v>
      </c>
      <c r="P918" s="516">
        <f t="shared" si="86"/>
        <v>0</v>
      </c>
      <c r="Q918" s="479"/>
    </row>
    <row r="919" spans="3:17">
      <c r="C919" s="512">
        <f>IF(D879="","-",+C918+1)</f>
        <v>2052</v>
      </c>
      <c r="D919" s="477">
        <f t="shared" si="87"/>
        <v>75982.851425438828</v>
      </c>
      <c r="E919" s="519">
        <f t="shared" si="88"/>
        <v>17203.66447368421</v>
      </c>
      <c r="F919" s="519">
        <f t="shared" si="81"/>
        <v>58779.186951754615</v>
      </c>
      <c r="G919" s="477">
        <f t="shared" si="82"/>
        <v>67381.019188596722</v>
      </c>
      <c r="H919" s="513">
        <f>+J880*G919+E919</f>
        <v>24688.935702427138</v>
      </c>
      <c r="I919" s="520">
        <f>+J881*G919+E919</f>
        <v>24688.935702427138</v>
      </c>
      <c r="J919" s="516">
        <f t="shared" si="83"/>
        <v>0</v>
      </c>
      <c r="K919" s="516"/>
      <c r="L919" s="521"/>
      <c r="M919" s="516">
        <f t="shared" si="84"/>
        <v>0</v>
      </c>
      <c r="N919" s="521"/>
      <c r="O919" s="516">
        <f t="shared" si="85"/>
        <v>0</v>
      </c>
      <c r="P919" s="516">
        <f t="shared" si="86"/>
        <v>0</v>
      </c>
      <c r="Q919" s="479"/>
    </row>
    <row r="920" spans="3:17">
      <c r="C920" s="512">
        <f>IF(D879="","-",+C919+1)</f>
        <v>2053</v>
      </c>
      <c r="D920" s="477">
        <f t="shared" si="87"/>
        <v>58779.186951754615</v>
      </c>
      <c r="E920" s="519">
        <f t="shared" si="88"/>
        <v>17203.66447368421</v>
      </c>
      <c r="F920" s="519">
        <f t="shared" si="81"/>
        <v>41575.522478070401</v>
      </c>
      <c r="G920" s="477">
        <f t="shared" si="82"/>
        <v>50177.354714912508</v>
      </c>
      <c r="H920" s="513">
        <f>+J880*G920+E920</f>
        <v>22777.802622748099</v>
      </c>
      <c r="I920" s="520">
        <f>+J881*G920+E920</f>
        <v>22777.802622748099</v>
      </c>
      <c r="J920" s="516">
        <f t="shared" si="83"/>
        <v>0</v>
      </c>
      <c r="K920" s="516"/>
      <c r="L920" s="521"/>
      <c r="M920" s="516">
        <f t="shared" si="84"/>
        <v>0</v>
      </c>
      <c r="N920" s="521"/>
      <c r="O920" s="516">
        <f t="shared" si="85"/>
        <v>0</v>
      </c>
      <c r="P920" s="516">
        <f t="shared" si="86"/>
        <v>0</v>
      </c>
      <c r="Q920" s="479"/>
    </row>
    <row r="921" spans="3:17">
      <c r="C921" s="512">
        <f>IF(D879="","-",+C920+1)</f>
        <v>2054</v>
      </c>
      <c r="D921" s="477">
        <f t="shared" si="87"/>
        <v>41575.522478070401</v>
      </c>
      <c r="E921" s="519">
        <f t="shared" si="88"/>
        <v>17203.66447368421</v>
      </c>
      <c r="F921" s="519">
        <f t="shared" si="81"/>
        <v>24371.858004386191</v>
      </c>
      <c r="G921" s="477">
        <f t="shared" si="82"/>
        <v>32973.690241228294</v>
      </c>
      <c r="H921" s="513">
        <f>+J880*G921+E921</f>
        <v>20866.66954306906</v>
      </c>
      <c r="I921" s="520">
        <f>+J881*G921+E921</f>
        <v>20866.66954306906</v>
      </c>
      <c r="J921" s="516">
        <f t="shared" si="83"/>
        <v>0</v>
      </c>
      <c r="K921" s="516"/>
      <c r="L921" s="521"/>
      <c r="M921" s="516">
        <f t="shared" si="84"/>
        <v>0</v>
      </c>
      <c r="N921" s="521"/>
      <c r="O921" s="516">
        <f t="shared" si="85"/>
        <v>0</v>
      </c>
      <c r="P921" s="516">
        <f t="shared" si="86"/>
        <v>0</v>
      </c>
      <c r="Q921" s="479"/>
    </row>
    <row r="922" spans="3:17">
      <c r="C922" s="512">
        <f>IF(D879="","-",+C921+1)</f>
        <v>2055</v>
      </c>
      <c r="D922" s="477">
        <f t="shared" si="87"/>
        <v>24371.858004386191</v>
      </c>
      <c r="E922" s="519">
        <f t="shared" si="88"/>
        <v>17203.66447368421</v>
      </c>
      <c r="F922" s="519">
        <f t="shared" si="81"/>
        <v>7168.1935307019812</v>
      </c>
      <c r="G922" s="477">
        <f t="shared" si="82"/>
        <v>15770.025767544086</v>
      </c>
      <c r="H922" s="513">
        <f>+J880*G922+E922</f>
        <v>18955.536463390021</v>
      </c>
      <c r="I922" s="520">
        <f>+J881*G922+E922</f>
        <v>18955.536463390021</v>
      </c>
      <c r="J922" s="516">
        <f t="shared" si="83"/>
        <v>0</v>
      </c>
      <c r="K922" s="516"/>
      <c r="L922" s="521"/>
      <c r="M922" s="516">
        <f t="shared" si="84"/>
        <v>0</v>
      </c>
      <c r="N922" s="521"/>
      <c r="O922" s="516">
        <f t="shared" si="85"/>
        <v>0</v>
      </c>
      <c r="P922" s="516">
        <f t="shared" si="86"/>
        <v>0</v>
      </c>
      <c r="Q922" s="479"/>
    </row>
    <row r="923" spans="3:17">
      <c r="C923" s="512">
        <f>IF(D879="","-",+C922+1)</f>
        <v>2056</v>
      </c>
      <c r="D923" s="477">
        <f t="shared" si="87"/>
        <v>7168.1935307019812</v>
      </c>
      <c r="E923" s="519">
        <f t="shared" si="88"/>
        <v>7168.1935307019812</v>
      </c>
      <c r="F923" s="519">
        <f t="shared" si="81"/>
        <v>0</v>
      </c>
      <c r="G923" s="477">
        <f t="shared" si="82"/>
        <v>3584.0967653509906</v>
      </c>
      <c r="H923" s="513">
        <f>+J880*G923+E923</f>
        <v>7566.3462556351269</v>
      </c>
      <c r="I923" s="520">
        <f>+J881*G923+E923</f>
        <v>7566.3462556351269</v>
      </c>
      <c r="J923" s="516">
        <f t="shared" si="83"/>
        <v>0</v>
      </c>
      <c r="K923" s="516"/>
      <c r="L923" s="521"/>
      <c r="M923" s="516">
        <f t="shared" si="84"/>
        <v>0</v>
      </c>
      <c r="N923" s="521"/>
      <c r="O923" s="516">
        <f t="shared" si="85"/>
        <v>0</v>
      </c>
      <c r="P923" s="516">
        <f t="shared" si="86"/>
        <v>0</v>
      </c>
      <c r="Q923" s="479"/>
    </row>
    <row r="924" spans="3:17">
      <c r="C924" s="512">
        <f>IF(D879="","-",+C923+1)</f>
        <v>2057</v>
      </c>
      <c r="D924" s="477">
        <f t="shared" si="87"/>
        <v>0</v>
      </c>
      <c r="E924" s="519">
        <f t="shared" si="88"/>
        <v>0</v>
      </c>
      <c r="F924" s="519">
        <f t="shared" si="81"/>
        <v>0</v>
      </c>
      <c r="G924" s="477">
        <f t="shared" si="82"/>
        <v>0</v>
      </c>
      <c r="H924" s="513">
        <f>+J880*G924+E924</f>
        <v>0</v>
      </c>
      <c r="I924" s="520">
        <f>+J881*G924+E924</f>
        <v>0</v>
      </c>
      <c r="J924" s="516">
        <f t="shared" si="83"/>
        <v>0</v>
      </c>
      <c r="K924" s="516"/>
      <c r="L924" s="521"/>
      <c r="M924" s="516">
        <f t="shared" si="84"/>
        <v>0</v>
      </c>
      <c r="N924" s="521"/>
      <c r="O924" s="516">
        <f t="shared" si="85"/>
        <v>0</v>
      </c>
      <c r="P924" s="516">
        <f t="shared" si="86"/>
        <v>0</v>
      </c>
      <c r="Q924" s="479"/>
    </row>
    <row r="925" spans="3:17">
      <c r="C925" s="512">
        <f>IF(D879="","-",+C924+1)</f>
        <v>2058</v>
      </c>
      <c r="D925" s="477">
        <f t="shared" si="87"/>
        <v>0</v>
      </c>
      <c r="E925" s="519">
        <f t="shared" si="88"/>
        <v>0</v>
      </c>
      <c r="F925" s="519">
        <f t="shared" si="81"/>
        <v>0</v>
      </c>
      <c r="G925" s="477">
        <f t="shared" si="82"/>
        <v>0</v>
      </c>
      <c r="H925" s="513">
        <f>+J880*G925+E925</f>
        <v>0</v>
      </c>
      <c r="I925" s="520">
        <f>+J881*G925+E925</f>
        <v>0</v>
      </c>
      <c r="J925" s="516">
        <f t="shared" si="83"/>
        <v>0</v>
      </c>
      <c r="K925" s="516"/>
      <c r="L925" s="521"/>
      <c r="M925" s="516">
        <f t="shared" si="84"/>
        <v>0</v>
      </c>
      <c r="N925" s="521"/>
      <c r="O925" s="516">
        <f t="shared" si="85"/>
        <v>0</v>
      </c>
      <c r="P925" s="516">
        <f t="shared" si="86"/>
        <v>0</v>
      </c>
      <c r="Q925" s="479"/>
    </row>
    <row r="926" spans="3:17">
      <c r="C926" s="512">
        <f>IF(D879="","-",+C925+1)</f>
        <v>2059</v>
      </c>
      <c r="D926" s="477">
        <f t="shared" si="87"/>
        <v>0</v>
      </c>
      <c r="E926" s="519">
        <f t="shared" si="88"/>
        <v>0</v>
      </c>
      <c r="F926" s="519">
        <f t="shared" si="81"/>
        <v>0</v>
      </c>
      <c r="G926" s="477">
        <f t="shared" si="82"/>
        <v>0</v>
      </c>
      <c r="H926" s="513">
        <f>+J880*G926+E926</f>
        <v>0</v>
      </c>
      <c r="I926" s="520">
        <f>+J881*G926+E926</f>
        <v>0</v>
      </c>
      <c r="J926" s="516">
        <f t="shared" si="83"/>
        <v>0</v>
      </c>
      <c r="K926" s="516"/>
      <c r="L926" s="521"/>
      <c r="M926" s="516">
        <f t="shared" si="84"/>
        <v>0</v>
      </c>
      <c r="N926" s="521"/>
      <c r="O926" s="516">
        <f t="shared" si="85"/>
        <v>0</v>
      </c>
      <c r="P926" s="516">
        <f t="shared" si="86"/>
        <v>0</v>
      </c>
      <c r="Q926" s="479"/>
    </row>
    <row r="927" spans="3:17">
      <c r="C927" s="512">
        <f>IF(D879="","-",+C926+1)</f>
        <v>2060</v>
      </c>
      <c r="D927" s="477">
        <f t="shared" si="87"/>
        <v>0</v>
      </c>
      <c r="E927" s="519">
        <f t="shared" si="88"/>
        <v>0</v>
      </c>
      <c r="F927" s="519">
        <f t="shared" si="81"/>
        <v>0</v>
      </c>
      <c r="G927" s="477">
        <f t="shared" si="82"/>
        <v>0</v>
      </c>
      <c r="H927" s="513">
        <f>+J880*G927+E927</f>
        <v>0</v>
      </c>
      <c r="I927" s="520">
        <f>+J881*G927+E927</f>
        <v>0</v>
      </c>
      <c r="J927" s="516">
        <f t="shared" si="83"/>
        <v>0</v>
      </c>
      <c r="K927" s="516"/>
      <c r="L927" s="521"/>
      <c r="M927" s="516">
        <f t="shared" si="84"/>
        <v>0</v>
      </c>
      <c r="N927" s="521"/>
      <c r="O927" s="516">
        <f t="shared" si="85"/>
        <v>0</v>
      </c>
      <c r="P927" s="516">
        <f t="shared" si="86"/>
        <v>0</v>
      </c>
      <c r="Q927" s="479"/>
    </row>
    <row r="928" spans="3:17">
      <c r="C928" s="512">
        <f>IF(D879="","-",+C927+1)</f>
        <v>2061</v>
      </c>
      <c r="D928" s="477">
        <f t="shared" si="87"/>
        <v>0</v>
      </c>
      <c r="E928" s="519">
        <f t="shared" si="88"/>
        <v>0</v>
      </c>
      <c r="F928" s="519">
        <f t="shared" si="81"/>
        <v>0</v>
      </c>
      <c r="G928" s="477">
        <f t="shared" si="82"/>
        <v>0</v>
      </c>
      <c r="H928" s="513">
        <f>+J880*G928+E928</f>
        <v>0</v>
      </c>
      <c r="I928" s="520">
        <f>+J881*G928+E928</f>
        <v>0</v>
      </c>
      <c r="J928" s="516">
        <f t="shared" si="83"/>
        <v>0</v>
      </c>
      <c r="K928" s="516"/>
      <c r="L928" s="521"/>
      <c r="M928" s="516">
        <f t="shared" si="84"/>
        <v>0</v>
      </c>
      <c r="N928" s="521"/>
      <c r="O928" s="516">
        <f t="shared" si="85"/>
        <v>0</v>
      </c>
      <c r="P928" s="516">
        <f t="shared" si="86"/>
        <v>0</v>
      </c>
      <c r="Q928" s="479"/>
    </row>
    <row r="929" spans="3:17">
      <c r="C929" s="512">
        <f>IF(D879="","-",+C928+1)</f>
        <v>2062</v>
      </c>
      <c r="D929" s="477">
        <f t="shared" si="87"/>
        <v>0</v>
      </c>
      <c r="E929" s="519">
        <f t="shared" si="88"/>
        <v>0</v>
      </c>
      <c r="F929" s="519">
        <f t="shared" si="81"/>
        <v>0</v>
      </c>
      <c r="G929" s="477">
        <f t="shared" si="82"/>
        <v>0</v>
      </c>
      <c r="H929" s="513">
        <f>+J880*G929+E929</f>
        <v>0</v>
      </c>
      <c r="I929" s="520">
        <f>+J881*G929+E929</f>
        <v>0</v>
      </c>
      <c r="J929" s="516">
        <f t="shared" si="83"/>
        <v>0</v>
      </c>
      <c r="K929" s="516"/>
      <c r="L929" s="521"/>
      <c r="M929" s="516">
        <f t="shared" si="84"/>
        <v>0</v>
      </c>
      <c r="N929" s="521"/>
      <c r="O929" s="516">
        <f t="shared" si="85"/>
        <v>0</v>
      </c>
      <c r="P929" s="516">
        <f t="shared" si="86"/>
        <v>0</v>
      </c>
      <c r="Q929" s="479"/>
    </row>
    <row r="930" spans="3:17">
      <c r="C930" s="512">
        <f>IF(D879="","-",+C929+1)</f>
        <v>2063</v>
      </c>
      <c r="D930" s="477">
        <f t="shared" si="87"/>
        <v>0</v>
      </c>
      <c r="E930" s="519">
        <f t="shared" si="88"/>
        <v>0</v>
      </c>
      <c r="F930" s="519">
        <f t="shared" si="81"/>
        <v>0</v>
      </c>
      <c r="G930" s="477">
        <f t="shared" si="82"/>
        <v>0</v>
      </c>
      <c r="H930" s="513">
        <f>+J880*G930+E930</f>
        <v>0</v>
      </c>
      <c r="I930" s="520">
        <f>+J881*G930+E930</f>
        <v>0</v>
      </c>
      <c r="J930" s="516">
        <f t="shared" si="83"/>
        <v>0</v>
      </c>
      <c r="K930" s="516"/>
      <c r="L930" s="521"/>
      <c r="M930" s="516">
        <f t="shared" si="84"/>
        <v>0</v>
      </c>
      <c r="N930" s="521"/>
      <c r="O930" s="516">
        <f t="shared" si="85"/>
        <v>0</v>
      </c>
      <c r="P930" s="516">
        <f t="shared" si="86"/>
        <v>0</v>
      </c>
      <c r="Q930" s="479"/>
    </row>
    <row r="931" spans="3:17">
      <c r="C931" s="512">
        <f>IF(D879="","-",+C930+1)</f>
        <v>2064</v>
      </c>
      <c r="D931" s="477">
        <f t="shared" si="87"/>
        <v>0</v>
      </c>
      <c r="E931" s="519">
        <f t="shared" si="88"/>
        <v>0</v>
      </c>
      <c r="F931" s="519">
        <f t="shared" si="81"/>
        <v>0</v>
      </c>
      <c r="G931" s="477">
        <f t="shared" si="82"/>
        <v>0</v>
      </c>
      <c r="H931" s="513">
        <f>+J880*G931+E931</f>
        <v>0</v>
      </c>
      <c r="I931" s="520">
        <f>+J881*G931+E931</f>
        <v>0</v>
      </c>
      <c r="J931" s="516">
        <f t="shared" si="83"/>
        <v>0</v>
      </c>
      <c r="K931" s="516"/>
      <c r="L931" s="521"/>
      <c r="M931" s="516">
        <f t="shared" si="84"/>
        <v>0</v>
      </c>
      <c r="N931" s="521"/>
      <c r="O931" s="516">
        <f t="shared" si="85"/>
        <v>0</v>
      </c>
      <c r="P931" s="516">
        <f t="shared" si="86"/>
        <v>0</v>
      </c>
      <c r="Q931" s="479"/>
    </row>
    <row r="932" spans="3:17">
      <c r="C932" s="512">
        <f>IF(D879="","-",+C931+1)</f>
        <v>2065</v>
      </c>
      <c r="D932" s="477">
        <f t="shared" si="87"/>
        <v>0</v>
      </c>
      <c r="E932" s="519">
        <f t="shared" si="88"/>
        <v>0</v>
      </c>
      <c r="F932" s="519">
        <f t="shared" si="81"/>
        <v>0</v>
      </c>
      <c r="G932" s="477">
        <f t="shared" si="82"/>
        <v>0</v>
      </c>
      <c r="H932" s="513">
        <f>+J880*G932+E932</f>
        <v>0</v>
      </c>
      <c r="I932" s="520">
        <f>+J881*G932+E932</f>
        <v>0</v>
      </c>
      <c r="J932" s="516">
        <f t="shared" si="83"/>
        <v>0</v>
      </c>
      <c r="K932" s="516"/>
      <c r="L932" s="521"/>
      <c r="M932" s="516">
        <f t="shared" si="84"/>
        <v>0</v>
      </c>
      <c r="N932" s="521"/>
      <c r="O932" s="516">
        <f t="shared" si="85"/>
        <v>0</v>
      </c>
      <c r="P932" s="516">
        <f t="shared" si="86"/>
        <v>0</v>
      </c>
      <c r="Q932" s="479"/>
    </row>
    <row r="933" spans="3:17">
      <c r="C933" s="512">
        <f>IF(D879="","-",+C932+1)</f>
        <v>2066</v>
      </c>
      <c r="D933" s="477">
        <f t="shared" si="87"/>
        <v>0</v>
      </c>
      <c r="E933" s="519">
        <f t="shared" si="88"/>
        <v>0</v>
      </c>
      <c r="F933" s="519">
        <f t="shared" si="81"/>
        <v>0</v>
      </c>
      <c r="G933" s="477">
        <f t="shared" si="82"/>
        <v>0</v>
      </c>
      <c r="H933" s="513">
        <f>+J880*G933+E933</f>
        <v>0</v>
      </c>
      <c r="I933" s="520">
        <f>+J881*G933+E933</f>
        <v>0</v>
      </c>
      <c r="J933" s="516">
        <f t="shared" si="83"/>
        <v>0</v>
      </c>
      <c r="K933" s="516"/>
      <c r="L933" s="521"/>
      <c r="M933" s="516">
        <f t="shared" si="84"/>
        <v>0</v>
      </c>
      <c r="N933" s="521"/>
      <c r="O933" s="516">
        <f t="shared" si="85"/>
        <v>0</v>
      </c>
      <c r="P933" s="516">
        <f t="shared" si="86"/>
        <v>0</v>
      </c>
      <c r="Q933" s="479"/>
    </row>
    <row r="934" spans="3:17">
      <c r="C934" s="512">
        <f>IF(D879="","-",+C933+1)</f>
        <v>2067</v>
      </c>
      <c r="D934" s="477">
        <f t="shared" si="87"/>
        <v>0</v>
      </c>
      <c r="E934" s="519">
        <f t="shared" si="88"/>
        <v>0</v>
      </c>
      <c r="F934" s="519">
        <f t="shared" si="81"/>
        <v>0</v>
      </c>
      <c r="G934" s="477">
        <f t="shared" si="82"/>
        <v>0</v>
      </c>
      <c r="H934" s="513">
        <f>+J880*G934+E934</f>
        <v>0</v>
      </c>
      <c r="I934" s="520">
        <f>+J881*G934+E934</f>
        <v>0</v>
      </c>
      <c r="J934" s="516">
        <f t="shared" si="83"/>
        <v>0</v>
      </c>
      <c r="K934" s="516"/>
      <c r="L934" s="521"/>
      <c r="M934" s="516">
        <f t="shared" si="84"/>
        <v>0</v>
      </c>
      <c r="N934" s="521"/>
      <c r="O934" s="516">
        <f t="shared" si="85"/>
        <v>0</v>
      </c>
      <c r="P934" s="516">
        <f t="shared" si="86"/>
        <v>0</v>
      </c>
      <c r="Q934" s="479"/>
    </row>
    <row r="935" spans="3:17">
      <c r="C935" s="512">
        <f>IF(D879="","-",+C934+1)</f>
        <v>2068</v>
      </c>
      <c r="D935" s="477">
        <f t="shared" si="87"/>
        <v>0</v>
      </c>
      <c r="E935" s="519">
        <f t="shared" si="88"/>
        <v>0</v>
      </c>
      <c r="F935" s="519">
        <f t="shared" si="81"/>
        <v>0</v>
      </c>
      <c r="G935" s="477">
        <f t="shared" si="82"/>
        <v>0</v>
      </c>
      <c r="H935" s="513">
        <f>+J880*G935+E935</f>
        <v>0</v>
      </c>
      <c r="I935" s="520">
        <f>+J881*G935+E935</f>
        <v>0</v>
      </c>
      <c r="J935" s="516">
        <f t="shared" si="83"/>
        <v>0</v>
      </c>
      <c r="K935" s="516"/>
      <c r="L935" s="521"/>
      <c r="M935" s="516">
        <f t="shared" si="84"/>
        <v>0</v>
      </c>
      <c r="N935" s="521"/>
      <c r="O935" s="516">
        <f t="shared" si="85"/>
        <v>0</v>
      </c>
      <c r="P935" s="516">
        <f t="shared" si="86"/>
        <v>0</v>
      </c>
      <c r="Q935" s="479"/>
    </row>
    <row r="936" spans="3:17">
      <c r="C936" s="512">
        <f>IF(D879="","-",+C935+1)</f>
        <v>2069</v>
      </c>
      <c r="D936" s="477">
        <f t="shared" si="87"/>
        <v>0</v>
      </c>
      <c r="E936" s="519">
        <f t="shared" si="88"/>
        <v>0</v>
      </c>
      <c r="F936" s="519">
        <f t="shared" si="81"/>
        <v>0</v>
      </c>
      <c r="G936" s="477">
        <f t="shared" si="82"/>
        <v>0</v>
      </c>
      <c r="H936" s="513">
        <f>+J880*G936+E936</f>
        <v>0</v>
      </c>
      <c r="I936" s="520">
        <f>+J881*G936+E936</f>
        <v>0</v>
      </c>
      <c r="J936" s="516">
        <f t="shared" si="83"/>
        <v>0</v>
      </c>
      <c r="K936" s="516"/>
      <c r="L936" s="521"/>
      <c r="M936" s="516">
        <f t="shared" si="84"/>
        <v>0</v>
      </c>
      <c r="N936" s="521"/>
      <c r="O936" s="516">
        <f t="shared" si="85"/>
        <v>0</v>
      </c>
      <c r="P936" s="516">
        <f t="shared" si="86"/>
        <v>0</v>
      </c>
      <c r="Q936" s="479"/>
    </row>
    <row r="937" spans="3:17">
      <c r="C937" s="512">
        <f>IF(D879="","-",+C936+1)</f>
        <v>2070</v>
      </c>
      <c r="D937" s="477">
        <f t="shared" si="87"/>
        <v>0</v>
      </c>
      <c r="E937" s="519">
        <f t="shared" si="88"/>
        <v>0</v>
      </c>
      <c r="F937" s="519">
        <f t="shared" si="81"/>
        <v>0</v>
      </c>
      <c r="G937" s="477">
        <f t="shared" si="82"/>
        <v>0</v>
      </c>
      <c r="H937" s="513">
        <f>+J880*G937+E937</f>
        <v>0</v>
      </c>
      <c r="I937" s="520">
        <f>+J881*G937+E937</f>
        <v>0</v>
      </c>
      <c r="J937" s="516">
        <f t="shared" si="83"/>
        <v>0</v>
      </c>
      <c r="K937" s="516"/>
      <c r="L937" s="521"/>
      <c r="M937" s="516">
        <f t="shared" si="84"/>
        <v>0</v>
      </c>
      <c r="N937" s="521"/>
      <c r="O937" s="516">
        <f t="shared" si="85"/>
        <v>0</v>
      </c>
      <c r="P937" s="516">
        <f t="shared" si="86"/>
        <v>0</v>
      </c>
      <c r="Q937" s="479"/>
    </row>
    <row r="938" spans="3:17">
      <c r="C938" s="512">
        <f>IF(D879="","-",+C937+1)</f>
        <v>2071</v>
      </c>
      <c r="D938" s="477">
        <f t="shared" si="87"/>
        <v>0</v>
      </c>
      <c r="E938" s="519">
        <f t="shared" si="88"/>
        <v>0</v>
      </c>
      <c r="F938" s="519">
        <f t="shared" si="81"/>
        <v>0</v>
      </c>
      <c r="G938" s="477">
        <f t="shared" si="82"/>
        <v>0</v>
      </c>
      <c r="H938" s="513">
        <f>+J880*G938+E938</f>
        <v>0</v>
      </c>
      <c r="I938" s="520">
        <f>+J881*G938+E938</f>
        <v>0</v>
      </c>
      <c r="J938" s="516">
        <f t="shared" si="83"/>
        <v>0</v>
      </c>
      <c r="K938" s="516"/>
      <c r="L938" s="521"/>
      <c r="M938" s="516">
        <f t="shared" si="84"/>
        <v>0</v>
      </c>
      <c r="N938" s="521"/>
      <c r="O938" s="516">
        <f t="shared" si="85"/>
        <v>0</v>
      </c>
      <c r="P938" s="516">
        <f t="shared" si="86"/>
        <v>0</v>
      </c>
      <c r="Q938" s="479"/>
    </row>
    <row r="939" spans="3:17">
      <c r="C939" s="512">
        <f>IF(D879="","-",+C938+1)</f>
        <v>2072</v>
      </c>
      <c r="D939" s="477">
        <f t="shared" si="87"/>
        <v>0</v>
      </c>
      <c r="E939" s="519">
        <f t="shared" si="88"/>
        <v>0</v>
      </c>
      <c r="F939" s="519">
        <f t="shared" si="81"/>
        <v>0</v>
      </c>
      <c r="G939" s="477">
        <f t="shared" si="82"/>
        <v>0</v>
      </c>
      <c r="H939" s="513">
        <f>+J880*G939+E939</f>
        <v>0</v>
      </c>
      <c r="I939" s="520">
        <f>+J881*G939+E939</f>
        <v>0</v>
      </c>
      <c r="J939" s="516">
        <f t="shared" si="83"/>
        <v>0</v>
      </c>
      <c r="K939" s="516"/>
      <c r="L939" s="521"/>
      <c r="M939" s="516">
        <f t="shared" si="84"/>
        <v>0</v>
      </c>
      <c r="N939" s="521"/>
      <c r="O939" s="516">
        <f t="shared" si="85"/>
        <v>0</v>
      </c>
      <c r="P939" s="516">
        <f t="shared" si="86"/>
        <v>0</v>
      </c>
      <c r="Q939" s="479"/>
    </row>
    <row r="940" spans="3:17">
      <c r="C940" s="512">
        <f>IF(D879="","-",+C939+1)</f>
        <v>2073</v>
      </c>
      <c r="D940" s="477">
        <f t="shared" si="87"/>
        <v>0</v>
      </c>
      <c r="E940" s="519">
        <f t="shared" si="88"/>
        <v>0</v>
      </c>
      <c r="F940" s="519">
        <f t="shared" si="81"/>
        <v>0</v>
      </c>
      <c r="G940" s="477">
        <f t="shared" si="82"/>
        <v>0</v>
      </c>
      <c r="H940" s="513">
        <f>+J880*G940+E940</f>
        <v>0</v>
      </c>
      <c r="I940" s="520">
        <f>+J881*G940+E940</f>
        <v>0</v>
      </c>
      <c r="J940" s="516">
        <f t="shared" si="83"/>
        <v>0</v>
      </c>
      <c r="K940" s="516"/>
      <c r="L940" s="521"/>
      <c r="M940" s="516">
        <f t="shared" si="84"/>
        <v>0</v>
      </c>
      <c r="N940" s="521"/>
      <c r="O940" s="516">
        <f t="shared" si="85"/>
        <v>0</v>
      </c>
      <c r="P940" s="516">
        <f t="shared" si="86"/>
        <v>0</v>
      </c>
      <c r="Q940" s="479"/>
    </row>
    <row r="941" spans="3:17">
      <c r="C941" s="512">
        <f>IF(D879="","-",+C940+1)</f>
        <v>2074</v>
      </c>
      <c r="D941" s="477">
        <f t="shared" si="87"/>
        <v>0</v>
      </c>
      <c r="E941" s="519">
        <f t="shared" si="88"/>
        <v>0</v>
      </c>
      <c r="F941" s="519">
        <f t="shared" si="81"/>
        <v>0</v>
      </c>
      <c r="G941" s="477">
        <f t="shared" si="82"/>
        <v>0</v>
      </c>
      <c r="H941" s="513">
        <f>+J880*G941+E941</f>
        <v>0</v>
      </c>
      <c r="I941" s="520">
        <f>+J881*G941+E941</f>
        <v>0</v>
      </c>
      <c r="J941" s="516">
        <f t="shared" si="83"/>
        <v>0</v>
      </c>
      <c r="K941" s="516"/>
      <c r="L941" s="521"/>
      <c r="M941" s="516">
        <f t="shared" si="84"/>
        <v>0</v>
      </c>
      <c r="N941" s="521"/>
      <c r="O941" s="516">
        <f t="shared" si="85"/>
        <v>0</v>
      </c>
      <c r="P941" s="516">
        <f t="shared" si="86"/>
        <v>0</v>
      </c>
      <c r="Q941" s="479"/>
    </row>
    <row r="942" spans="3:17">
      <c r="C942" s="512">
        <f>IF(D879="","-",+C941+1)</f>
        <v>2075</v>
      </c>
      <c r="D942" s="477">
        <f t="shared" si="87"/>
        <v>0</v>
      </c>
      <c r="E942" s="519">
        <f t="shared" si="88"/>
        <v>0</v>
      </c>
      <c r="F942" s="519">
        <f t="shared" si="81"/>
        <v>0</v>
      </c>
      <c r="G942" s="477">
        <f t="shared" si="82"/>
        <v>0</v>
      </c>
      <c r="H942" s="513">
        <f>+J880*G942+E942</f>
        <v>0</v>
      </c>
      <c r="I942" s="520">
        <f>+J881*G942+E942</f>
        <v>0</v>
      </c>
      <c r="J942" s="516">
        <f t="shared" si="83"/>
        <v>0</v>
      </c>
      <c r="K942" s="516"/>
      <c r="L942" s="521"/>
      <c r="M942" s="516">
        <f t="shared" si="84"/>
        <v>0</v>
      </c>
      <c r="N942" s="521"/>
      <c r="O942" s="516">
        <f t="shared" si="85"/>
        <v>0</v>
      </c>
      <c r="P942" s="516">
        <f t="shared" si="86"/>
        <v>0</v>
      </c>
      <c r="Q942" s="479"/>
    </row>
    <row r="943" spans="3:17">
      <c r="C943" s="512">
        <f>IF(D879="","-",+C942+1)</f>
        <v>2076</v>
      </c>
      <c r="D943" s="477">
        <f t="shared" si="87"/>
        <v>0</v>
      </c>
      <c r="E943" s="519">
        <f t="shared" si="88"/>
        <v>0</v>
      </c>
      <c r="F943" s="519">
        <f t="shared" si="81"/>
        <v>0</v>
      </c>
      <c r="G943" s="477">
        <f t="shared" si="82"/>
        <v>0</v>
      </c>
      <c r="H943" s="513">
        <f>+J880*G943+E943</f>
        <v>0</v>
      </c>
      <c r="I943" s="520">
        <f>+J881*G943+E943</f>
        <v>0</v>
      </c>
      <c r="J943" s="516">
        <f t="shared" si="83"/>
        <v>0</v>
      </c>
      <c r="K943" s="516"/>
      <c r="L943" s="521"/>
      <c r="M943" s="516">
        <f t="shared" si="84"/>
        <v>0</v>
      </c>
      <c r="N943" s="521"/>
      <c r="O943" s="516">
        <f t="shared" si="85"/>
        <v>0</v>
      </c>
      <c r="P943" s="516">
        <f t="shared" si="86"/>
        <v>0</v>
      </c>
      <c r="Q943" s="479"/>
    </row>
    <row r="944" spans="3:17" ht="13.5" thickBot="1">
      <c r="C944" s="523">
        <f>IF(D879="","-",+C943+1)</f>
        <v>2077</v>
      </c>
      <c r="D944" s="524">
        <f t="shared" si="87"/>
        <v>0</v>
      </c>
      <c r="E944" s="974">
        <f t="shared" si="88"/>
        <v>0</v>
      </c>
      <c r="F944" s="525">
        <f t="shared" si="81"/>
        <v>0</v>
      </c>
      <c r="G944" s="524">
        <f t="shared" si="82"/>
        <v>0</v>
      </c>
      <c r="H944" s="526">
        <f>+J880*G944+E944</f>
        <v>0</v>
      </c>
      <c r="I944" s="526">
        <f>+J881*G944+E944</f>
        <v>0</v>
      </c>
      <c r="J944" s="527">
        <f t="shared" si="83"/>
        <v>0</v>
      </c>
      <c r="K944" s="516"/>
      <c r="L944" s="528"/>
      <c r="M944" s="527">
        <f t="shared" si="84"/>
        <v>0</v>
      </c>
      <c r="N944" s="528"/>
      <c r="O944" s="527">
        <f t="shared" si="85"/>
        <v>0</v>
      </c>
      <c r="P944" s="527">
        <f t="shared" si="86"/>
        <v>0</v>
      </c>
      <c r="Q944" s="479"/>
    </row>
    <row r="945" spans="1:17">
      <c r="C945" s="477" t="s">
        <v>289</v>
      </c>
      <c r="D945" s="475"/>
      <c r="E945" s="475">
        <f>SUM(E885:E944)</f>
        <v>653739.24999999988</v>
      </c>
      <c r="F945" s="475"/>
      <c r="G945" s="475"/>
      <c r="H945" s="475">
        <f>SUM(H885:H944)</f>
        <v>2063836.9406231854</v>
      </c>
      <c r="I945" s="475">
        <f>SUM(I885:I944)</f>
        <v>2063836.9406231854</v>
      </c>
      <c r="J945" s="475">
        <f>SUM(J885:J944)</f>
        <v>0</v>
      </c>
      <c r="K945" s="475"/>
      <c r="L945" s="475"/>
      <c r="M945" s="475"/>
      <c r="N945" s="475"/>
      <c r="O945" s="475"/>
      <c r="Q945" s="475"/>
    </row>
    <row r="946" spans="1:17">
      <c r="D946" s="82"/>
      <c r="E946" s="4"/>
      <c r="F946" s="4"/>
      <c r="G946" s="4"/>
      <c r="H946" s="4"/>
      <c r="I946" s="460"/>
      <c r="J946" s="460"/>
      <c r="K946" s="475"/>
      <c r="L946" s="460"/>
      <c r="M946" s="460"/>
      <c r="N946" s="460"/>
      <c r="O946" s="460"/>
      <c r="Q946" s="475"/>
    </row>
    <row r="947" spans="1:17">
      <c r="C947" s="4" t="s">
        <v>596</v>
      </c>
      <c r="D947" s="82"/>
      <c r="E947" s="4"/>
      <c r="F947" s="4"/>
      <c r="G947" s="4"/>
      <c r="H947" s="4"/>
      <c r="I947" s="460"/>
      <c r="J947" s="460"/>
      <c r="K947" s="475"/>
      <c r="L947" s="460"/>
      <c r="M947" s="460"/>
      <c r="N947" s="460"/>
      <c r="O947" s="460"/>
      <c r="Q947" s="475"/>
    </row>
    <row r="948" spans="1:17">
      <c r="D948" s="82"/>
      <c r="E948" s="4"/>
      <c r="F948" s="4"/>
      <c r="G948" s="4"/>
      <c r="H948" s="4"/>
      <c r="I948" s="460"/>
      <c r="J948" s="460"/>
      <c r="K948" s="475"/>
      <c r="L948" s="460"/>
      <c r="M948" s="460"/>
      <c r="N948" s="460"/>
      <c r="O948" s="460"/>
      <c r="Q948" s="475"/>
    </row>
    <row r="949" spans="1:17">
      <c r="C949" s="4" t="s">
        <v>597</v>
      </c>
      <c r="D949" s="477"/>
      <c r="E949" s="477"/>
      <c r="F949" s="477"/>
      <c r="G949" s="477"/>
      <c r="H949" s="475"/>
      <c r="I949" s="475"/>
      <c r="J949" s="479"/>
      <c r="K949" s="479"/>
      <c r="L949" s="479"/>
      <c r="M949" s="479"/>
      <c r="N949" s="479"/>
      <c r="O949" s="479"/>
      <c r="Q949" s="479"/>
    </row>
    <row r="950" spans="1:17">
      <c r="C950" s="4" t="s">
        <v>477</v>
      </c>
      <c r="D950" s="477"/>
      <c r="E950" s="477"/>
      <c r="F950" s="477"/>
      <c r="G950" s="477"/>
      <c r="H950" s="475"/>
      <c r="I950" s="475"/>
      <c r="J950" s="479"/>
      <c r="K950" s="479"/>
      <c r="L950" s="479"/>
      <c r="M950" s="479"/>
      <c r="N950" s="479"/>
      <c r="O950" s="479"/>
      <c r="Q950" s="479"/>
    </row>
    <row r="951" spans="1:17">
      <c r="C951" s="4" t="s">
        <v>290</v>
      </c>
      <c r="D951" s="477"/>
      <c r="E951" s="477"/>
      <c r="F951" s="477"/>
      <c r="G951" s="477"/>
      <c r="H951" s="475"/>
      <c r="I951" s="475"/>
      <c r="J951" s="479"/>
      <c r="K951" s="479"/>
      <c r="L951" s="479"/>
      <c r="M951" s="479"/>
      <c r="N951" s="479"/>
      <c r="O951" s="479"/>
      <c r="Q951" s="479"/>
    </row>
    <row r="952" spans="1:17" ht="20.25">
      <c r="A952" s="419" t="s">
        <v>763</v>
      </c>
      <c r="B952" s="4"/>
      <c r="C952" s="4"/>
      <c r="D952" s="82"/>
      <c r="E952" s="4"/>
      <c r="F952" s="84"/>
      <c r="G952" s="84"/>
      <c r="H952" s="4"/>
      <c r="I952" s="460"/>
      <c r="L952" s="11"/>
      <c r="M952" s="11"/>
      <c r="N952" s="11"/>
      <c r="O952" s="11" t="str">
        <f>"Page "&amp;SUM(Q$3:Q952)&amp;" of "</f>
        <v xml:space="preserve">Page 14 of </v>
      </c>
      <c r="P952" s="420">
        <f>COUNT(Q$8:Q$58123)</f>
        <v>15</v>
      </c>
      <c r="Q952" s="547">
        <v>1</v>
      </c>
    </row>
    <row r="953" spans="1:17">
      <c r="B953" s="4"/>
      <c r="C953" s="4"/>
      <c r="D953" s="82"/>
      <c r="E953" s="4"/>
      <c r="F953" s="4"/>
      <c r="G953" s="4"/>
      <c r="H953" s="4"/>
      <c r="I953" s="460"/>
      <c r="J953" s="4"/>
      <c r="K953" s="4"/>
    </row>
    <row r="954" spans="1:17" ht="18">
      <c r="B954" s="421" t="s">
        <v>175</v>
      </c>
      <c r="C954" s="480" t="s">
        <v>291</v>
      </c>
      <c r="D954" s="82"/>
      <c r="E954" s="4"/>
      <c r="F954" s="4"/>
      <c r="G954" s="4"/>
      <c r="H954" s="4"/>
      <c r="I954" s="460"/>
      <c r="J954" s="460"/>
      <c r="K954" s="475"/>
      <c r="L954" s="460"/>
      <c r="M954" s="460"/>
      <c r="N954" s="460"/>
      <c r="O954" s="460"/>
      <c r="Q954" s="475"/>
    </row>
    <row r="955" spans="1:17" ht="18.75">
      <c r="B955" s="421"/>
      <c r="C955" s="13"/>
      <c r="D955" s="82"/>
      <c r="E955" s="4"/>
      <c r="F955" s="4"/>
      <c r="G955" s="4"/>
      <c r="H955" s="4"/>
      <c r="I955" s="460"/>
      <c r="J955" s="460"/>
      <c r="K955" s="475"/>
      <c r="L955" s="460"/>
      <c r="M955" s="460"/>
      <c r="N955" s="460"/>
      <c r="O955" s="460"/>
      <c r="Q955" s="475"/>
    </row>
    <row r="956" spans="1:17" ht="18.75">
      <c r="B956" s="421"/>
      <c r="C956" s="13" t="s">
        <v>292</v>
      </c>
      <c r="D956" s="82"/>
      <c r="E956" s="4"/>
      <c r="F956" s="4"/>
      <c r="G956" s="4"/>
      <c r="H956" s="4"/>
      <c r="I956" s="460"/>
      <c r="J956" s="460"/>
      <c r="K956" s="475"/>
      <c r="L956" s="460"/>
      <c r="M956" s="460"/>
      <c r="N956" s="460"/>
      <c r="O956" s="460"/>
      <c r="Q956" s="475"/>
    </row>
    <row r="957" spans="1:17" ht="15.75" thickBot="1">
      <c r="C957" s="254"/>
      <c r="D957" s="82"/>
      <c r="E957" s="4"/>
      <c r="F957" s="4"/>
      <c r="G957" s="4"/>
      <c r="H957" s="4"/>
      <c r="I957" s="460"/>
      <c r="J957" s="460"/>
      <c r="K957" s="475"/>
      <c r="L957" s="460"/>
      <c r="M957" s="460"/>
      <c r="N957" s="460"/>
      <c r="O957" s="460"/>
      <c r="Q957" s="475"/>
    </row>
    <row r="958" spans="1:17" ht="15.75">
      <c r="C958" s="422" t="s">
        <v>293</v>
      </c>
      <c r="D958" s="82"/>
      <c r="E958" s="4"/>
      <c r="F958" s="4"/>
      <c r="G958" s="4"/>
      <c r="H958" s="645"/>
      <c r="I958" s="4" t="s">
        <v>272</v>
      </c>
      <c r="J958" s="4"/>
      <c r="K958" s="4"/>
      <c r="L958" s="548">
        <f>+J964</f>
        <v>2025</v>
      </c>
      <c r="M958" s="532" t="s">
        <v>255</v>
      </c>
      <c r="N958" s="532" t="s">
        <v>256</v>
      </c>
      <c r="O958" s="533" t="s">
        <v>257</v>
      </c>
    </row>
    <row r="959" spans="1:17" ht="15.75">
      <c r="C959" s="422"/>
      <c r="D959" s="82"/>
      <c r="E959" s="4"/>
      <c r="F959" s="4"/>
      <c r="H959" s="4"/>
      <c r="I959" s="484"/>
      <c r="J959" s="484"/>
      <c r="K959" s="485"/>
      <c r="L959" s="549" t="s">
        <v>456</v>
      </c>
      <c r="M959" s="550">
        <f>VLOOKUP(J964,C971:P1030,10)</f>
        <v>1034045.1359791794</v>
      </c>
      <c r="N959" s="550">
        <f>VLOOKUP(J964,C971:P1030,12)</f>
        <v>1034045.1359791794</v>
      </c>
      <c r="O959" s="551">
        <f>+N959-M959</f>
        <v>0</v>
      </c>
      <c r="Q959" s="485"/>
    </row>
    <row r="960" spans="1:17" ht="12.75" customHeight="1">
      <c r="C960" s="487" t="s">
        <v>294</v>
      </c>
      <c r="D960" s="1274" t="s">
        <v>1171</v>
      </c>
      <c r="E960" s="1275"/>
      <c r="F960" s="1275"/>
      <c r="G960" s="1275"/>
      <c r="H960" s="1275"/>
      <c r="I960" s="1275"/>
      <c r="J960" s="460"/>
      <c r="K960" s="475"/>
      <c r="L960" s="549" t="s">
        <v>457</v>
      </c>
      <c r="M960" s="552">
        <f>VLOOKUP(J964,C971:P1030,6)</f>
        <v>986604.38646053069</v>
      </c>
      <c r="N960" s="552">
        <f>VLOOKUP(J964,C971:P1030,7)</f>
        <v>986604.38646053069</v>
      </c>
      <c r="O960" s="553">
        <f>+N960-M960</f>
        <v>0</v>
      </c>
      <c r="Q960" s="475"/>
    </row>
    <row r="961" spans="1:17" ht="13.5" thickBot="1">
      <c r="C961" s="489"/>
      <c r="D961" s="1275"/>
      <c r="E961" s="1275"/>
      <c r="F961" s="1275"/>
      <c r="G961" s="1275"/>
      <c r="H961" s="1275"/>
      <c r="I961" s="1275"/>
      <c r="J961" s="460"/>
      <c r="K961" s="475"/>
      <c r="L961" s="499" t="s">
        <v>458</v>
      </c>
      <c r="M961" s="554">
        <f>+M960-M959</f>
        <v>-47440.749518648721</v>
      </c>
      <c r="N961" s="554">
        <f>+N960-N959</f>
        <v>-47440.749518648721</v>
      </c>
      <c r="O961" s="555">
        <f>+O960-O959</f>
        <v>0</v>
      </c>
      <c r="Q961" s="475"/>
    </row>
    <row r="962" spans="1:17" ht="13.5" thickBot="1">
      <c r="C962" s="489"/>
      <c r="D962" s="4"/>
      <c r="E962" s="490"/>
      <c r="F962" s="490"/>
      <c r="G962" s="490"/>
      <c r="H962" s="490"/>
      <c r="I962" s="490"/>
      <c r="J962" s="490"/>
      <c r="K962" s="490"/>
      <c r="L962" s="490"/>
      <c r="M962" s="490"/>
      <c r="N962" s="490"/>
      <c r="O962" s="490"/>
      <c r="Q962" s="490"/>
    </row>
    <row r="963" spans="1:17" ht="13.5" thickBot="1">
      <c r="C963" s="491" t="s">
        <v>295</v>
      </c>
      <c r="D963" s="492"/>
      <c r="E963" s="492"/>
      <c r="F963" s="492"/>
      <c r="G963" s="492"/>
      <c r="H963" s="492"/>
      <c r="I963" s="492"/>
      <c r="J963" s="492"/>
      <c r="Q963"/>
    </row>
    <row r="964" spans="1:17" ht="15">
      <c r="A964" s="978"/>
      <c r="C964" s="494" t="s">
        <v>273</v>
      </c>
      <c r="D964" s="979">
        <v>7684389.4200000009</v>
      </c>
      <c r="E964" s="4" t="s">
        <v>274</v>
      </c>
      <c r="H964" s="82"/>
      <c r="I964" s="82"/>
      <c r="J964" s="495">
        <f>$J$95</f>
        <v>2025</v>
      </c>
      <c r="K964" s="138"/>
      <c r="L964" s="1284" t="s">
        <v>275</v>
      </c>
      <c r="M964" s="1284"/>
      <c r="N964" s="1284"/>
      <c r="O964" s="1284"/>
      <c r="Q964" s="138"/>
    </row>
    <row r="965" spans="1:17">
      <c r="A965" s="978"/>
      <c r="C965" s="494" t="s">
        <v>276</v>
      </c>
      <c r="D965" s="647">
        <v>2022</v>
      </c>
      <c r="E965" s="494" t="s">
        <v>277</v>
      </c>
      <c r="F965" s="82"/>
      <c r="G965" s="82"/>
      <c r="I965"/>
      <c r="J965" s="650">
        <v>0</v>
      </c>
      <c r="K965" s="496"/>
      <c r="L965" s="475" t="s">
        <v>476</v>
      </c>
      <c r="Q965" s="496"/>
    </row>
    <row r="966" spans="1:17">
      <c r="A966" s="978"/>
      <c r="C966" s="494" t="s">
        <v>278</v>
      </c>
      <c r="D966" s="946">
        <v>5</v>
      </c>
      <c r="E966" s="494" t="s">
        <v>279</v>
      </c>
      <c r="F966" s="82"/>
      <c r="G966" s="82"/>
      <c r="I966"/>
      <c r="J966" s="497">
        <f>$F$70</f>
        <v>0.11108872081308177</v>
      </c>
      <c r="K966" s="84"/>
      <c r="L966" s="4" t="str">
        <f>"          INPUT TRUE-UP ARR (WITH &amp; WITHOUT INCENTIVES) FROM EACH PRIOR YEAR"</f>
        <v xml:space="preserve">          INPUT TRUE-UP ARR (WITH &amp; WITHOUT INCENTIVES) FROM EACH PRIOR YEAR</v>
      </c>
      <c r="Q966" s="84"/>
    </row>
    <row r="967" spans="1:17">
      <c r="A967" s="978"/>
      <c r="C967" s="494" t="s">
        <v>280</v>
      </c>
      <c r="D967" s="498">
        <f>H79</f>
        <v>38</v>
      </c>
      <c r="E967" s="494" t="s">
        <v>281</v>
      </c>
      <c r="F967" s="82"/>
      <c r="G967" s="82"/>
      <c r="I967"/>
      <c r="J967" s="497">
        <f>IF(H958="",J966,$F$69)</f>
        <v>0.11108872081308177</v>
      </c>
      <c r="K967" s="84"/>
      <c r="L967" s="4" t="s">
        <v>363</v>
      </c>
      <c r="M967" s="84"/>
      <c r="N967" s="84"/>
      <c r="O967" s="84"/>
      <c r="Q967" s="84"/>
    </row>
    <row r="968" spans="1:17" ht="13.5" thickBot="1">
      <c r="A968" s="978"/>
      <c r="C968" s="494" t="s">
        <v>282</v>
      </c>
      <c r="D968" s="649" t="s">
        <v>930</v>
      </c>
      <c r="E968" s="499" t="s">
        <v>283</v>
      </c>
      <c r="F968" s="500"/>
      <c r="G968" s="500"/>
      <c r="H968" s="501"/>
      <c r="I968" s="501"/>
      <c r="J968" s="488">
        <f>IF(D964=0,0,D964/D967)</f>
        <v>202220.77421052635</v>
      </c>
      <c r="K968" s="475"/>
      <c r="L968" s="475" t="s">
        <v>364</v>
      </c>
      <c r="M968" s="475"/>
      <c r="N968" s="475"/>
      <c r="O968" s="475"/>
      <c r="Q968" s="475"/>
    </row>
    <row r="969" spans="1:17" ht="38.25">
      <c r="A969" s="12"/>
      <c r="B969" s="12"/>
      <c r="C969" s="502" t="s">
        <v>273</v>
      </c>
      <c r="D969" s="503" t="s">
        <v>284</v>
      </c>
      <c r="E969" s="504" t="s">
        <v>285</v>
      </c>
      <c r="F969" s="503" t="s">
        <v>286</v>
      </c>
      <c r="G969" s="503" t="s">
        <v>459</v>
      </c>
      <c r="H969" s="504" t="s">
        <v>357</v>
      </c>
      <c r="I969" s="505" t="s">
        <v>357</v>
      </c>
      <c r="J969" s="502" t="s">
        <v>296</v>
      </c>
      <c r="K969" s="506"/>
      <c r="L969" s="504" t="s">
        <v>359</v>
      </c>
      <c r="M969" s="504" t="s">
        <v>365</v>
      </c>
      <c r="N969" s="504" t="s">
        <v>359</v>
      </c>
      <c r="O969" s="504" t="s">
        <v>367</v>
      </c>
      <c r="P969" s="504" t="s">
        <v>287</v>
      </c>
      <c r="Q969" s="131"/>
    </row>
    <row r="970" spans="1:17" ht="13.5" thickBot="1">
      <c r="C970" s="507" t="s">
        <v>178</v>
      </c>
      <c r="D970" s="508" t="s">
        <v>179</v>
      </c>
      <c r="E970" s="507" t="s">
        <v>38</v>
      </c>
      <c r="F970" s="508" t="s">
        <v>179</v>
      </c>
      <c r="G970" s="508" t="s">
        <v>179</v>
      </c>
      <c r="H970" s="509" t="s">
        <v>299</v>
      </c>
      <c r="I970" s="510" t="s">
        <v>301</v>
      </c>
      <c r="J970" s="507" t="s">
        <v>390</v>
      </c>
      <c r="K970" s="511"/>
      <c r="L970" s="509" t="s">
        <v>288</v>
      </c>
      <c r="M970" s="509" t="s">
        <v>288</v>
      </c>
      <c r="N970" s="509" t="s">
        <v>468</v>
      </c>
      <c r="O970" s="509" t="s">
        <v>468</v>
      </c>
      <c r="P970" s="509" t="s">
        <v>468</v>
      </c>
      <c r="Q970" s="138"/>
    </row>
    <row r="971" spans="1:17">
      <c r="C971" s="512">
        <f>IF(D965= "","-",D965)</f>
        <v>2022</v>
      </c>
      <c r="D971" s="477">
        <f>+D964</f>
        <v>7684389.4200000009</v>
      </c>
      <c r="E971" s="513">
        <f>+J968/12*(12-D966)</f>
        <v>117962.11828947371</v>
      </c>
      <c r="F971" s="556">
        <f t="shared" ref="F971:F1030" si="89">+D971-E971</f>
        <v>7566427.3017105274</v>
      </c>
      <c r="G971" s="477">
        <f t="shared" ref="G971:G1030" si="90">+(D971+F971)/2</f>
        <v>7625408.3608552646</v>
      </c>
      <c r="H971" s="514">
        <f>+J966*G971+E971</f>
        <v>965058.97877426364</v>
      </c>
      <c r="I971" s="515">
        <f>+J967*G971+E971</f>
        <v>965058.97877426364</v>
      </c>
      <c r="J971" s="516">
        <f t="shared" ref="J971:J1030" si="91">+I971-H971</f>
        <v>0</v>
      </c>
      <c r="K971" s="516"/>
      <c r="L971" s="517"/>
      <c r="M971" s="557">
        <f t="shared" ref="M971:M1030" si="92">IF(L971&lt;&gt;0,+H971-L971,0)</f>
        <v>0</v>
      </c>
      <c r="N971" s="517"/>
      <c r="O971" s="557">
        <f t="shared" ref="O971:O1030" si="93">IF(N971&lt;&gt;0,+I971-N971,0)</f>
        <v>0</v>
      </c>
      <c r="P971" s="557">
        <f t="shared" ref="P971:P1030" si="94">+O971-M971</f>
        <v>0</v>
      </c>
      <c r="Q971" s="479"/>
    </row>
    <row r="972" spans="1:17">
      <c r="C972" s="512">
        <f>IF(D965="","-",+C971+1)</f>
        <v>2023</v>
      </c>
      <c r="D972" s="960">
        <f t="shared" ref="D972:D1030" si="95">F971</f>
        <v>7566427.3017105274</v>
      </c>
      <c r="E972" s="519">
        <f>IF(D972&gt;$J$968,$J$968,D972)</f>
        <v>202220.77421052635</v>
      </c>
      <c r="F972" s="519">
        <f t="shared" si="89"/>
        <v>7364206.5275000008</v>
      </c>
      <c r="G972" s="477">
        <f t="shared" si="90"/>
        <v>7465316.9146052636</v>
      </c>
      <c r="H972" s="513">
        <f>+J966*G972+E972</f>
        <v>1031533.2807182875</v>
      </c>
      <c r="I972" s="520">
        <f>+J967*G972+E972</f>
        <v>1031533.2807182875</v>
      </c>
      <c r="J972" s="516">
        <f t="shared" si="91"/>
        <v>0</v>
      </c>
      <c r="K972" s="516"/>
      <c r="L972" s="521">
        <v>573889.83934624365</v>
      </c>
      <c r="M972" s="516">
        <f t="shared" si="92"/>
        <v>457643.4413720438</v>
      </c>
      <c r="N972" s="521">
        <v>573889.83934624365</v>
      </c>
      <c r="O972" s="516">
        <f t="shared" si="93"/>
        <v>457643.4413720438</v>
      </c>
      <c r="P972" s="516">
        <f t="shared" si="94"/>
        <v>0</v>
      </c>
      <c r="Q972" s="479"/>
    </row>
    <row r="973" spans="1:17">
      <c r="C973" s="512">
        <f>IF(D965="","-",+C972+1)</f>
        <v>2024</v>
      </c>
      <c r="D973" s="960">
        <f t="shared" si="95"/>
        <v>7364206.5275000008</v>
      </c>
      <c r="E973" s="519">
        <f t="shared" ref="E973:E1030" si="96">IF(D973&gt;$J$968,$J$968,D973)</f>
        <v>202220.77421052635</v>
      </c>
      <c r="F973" s="519">
        <f t="shared" si="89"/>
        <v>7161985.7532894742</v>
      </c>
      <c r="G973" s="477">
        <f t="shared" si="90"/>
        <v>7263096.1403947379</v>
      </c>
      <c r="H973" s="513">
        <f>+J966*G973+E973</f>
        <v>1009068.8335894091</v>
      </c>
      <c r="I973" s="520">
        <f>+J967*G973+E973</f>
        <v>1009068.8335894091</v>
      </c>
      <c r="J973" s="516">
        <f t="shared" si="91"/>
        <v>0</v>
      </c>
      <c r="K973" s="516"/>
      <c r="L973" s="521">
        <v>985595.5816379051</v>
      </c>
      <c r="M973" s="516">
        <f t="shared" si="92"/>
        <v>23473.251951504033</v>
      </c>
      <c r="N973" s="521">
        <v>985595.5816379051</v>
      </c>
      <c r="O973" s="516">
        <f t="shared" si="93"/>
        <v>23473.251951504033</v>
      </c>
      <c r="P973" s="516">
        <f t="shared" si="94"/>
        <v>0</v>
      </c>
      <c r="Q973" s="479"/>
    </row>
    <row r="974" spans="1:17">
      <c r="C974" s="512">
        <f>IF(D965="","-",+C973+1)</f>
        <v>2025</v>
      </c>
      <c r="D974" s="477">
        <f t="shared" si="95"/>
        <v>7161985.7532894742</v>
      </c>
      <c r="E974" s="519">
        <f t="shared" si="96"/>
        <v>202220.77421052635</v>
      </c>
      <c r="F974" s="519">
        <f t="shared" si="89"/>
        <v>6959764.9790789476</v>
      </c>
      <c r="G974" s="477">
        <f t="shared" si="90"/>
        <v>7060875.3661842104</v>
      </c>
      <c r="H974" s="513">
        <f>+J966*G974+E974</f>
        <v>986604.38646053069</v>
      </c>
      <c r="I974" s="520">
        <f>+J967*G974+E974</f>
        <v>986604.38646053069</v>
      </c>
      <c r="J974" s="516">
        <f t="shared" si="91"/>
        <v>0</v>
      </c>
      <c r="K974" s="516"/>
      <c r="L974" s="521">
        <v>1034045.1359791794</v>
      </c>
      <c r="M974" s="516">
        <f t="shared" si="92"/>
        <v>-47440.749518648721</v>
      </c>
      <c r="N974" s="521">
        <v>1034045.1359791794</v>
      </c>
      <c r="O974" s="516">
        <f t="shared" si="93"/>
        <v>-47440.749518648721</v>
      </c>
      <c r="P974" s="516">
        <f t="shared" si="94"/>
        <v>0</v>
      </c>
      <c r="Q974" s="479"/>
    </row>
    <row r="975" spans="1:17">
      <c r="C975" s="512">
        <f>IF(D965="","-",+C974+1)</f>
        <v>2026</v>
      </c>
      <c r="D975" s="477">
        <f t="shared" si="95"/>
        <v>6959764.9790789476</v>
      </c>
      <c r="E975" s="519">
        <f t="shared" si="96"/>
        <v>202220.77421052635</v>
      </c>
      <c r="F975" s="519">
        <f t="shared" si="89"/>
        <v>6757544.204868421</v>
      </c>
      <c r="G975" s="477">
        <f t="shared" si="90"/>
        <v>6858654.5919736847</v>
      </c>
      <c r="H975" s="513">
        <f>+J966*G975+E975</f>
        <v>964139.93933165225</v>
      </c>
      <c r="I975" s="520">
        <f>+J967*G975+E975</f>
        <v>964139.93933165225</v>
      </c>
      <c r="J975" s="516">
        <f t="shared" si="91"/>
        <v>0</v>
      </c>
      <c r="K975" s="516"/>
      <c r="L975" s="521"/>
      <c r="M975" s="516">
        <f t="shared" si="92"/>
        <v>0</v>
      </c>
      <c r="N975" s="521"/>
      <c r="O975" s="516">
        <f t="shared" si="93"/>
        <v>0</v>
      </c>
      <c r="P975" s="516">
        <f t="shared" si="94"/>
        <v>0</v>
      </c>
      <c r="Q975" s="479"/>
    </row>
    <row r="976" spans="1:17">
      <c r="C976" s="512">
        <f>IF(D965="","-",+C975+1)</f>
        <v>2027</v>
      </c>
      <c r="D976" s="477">
        <f t="shared" si="95"/>
        <v>6757544.204868421</v>
      </c>
      <c r="E976" s="519">
        <f t="shared" si="96"/>
        <v>202220.77421052635</v>
      </c>
      <c r="F976" s="519">
        <f t="shared" si="89"/>
        <v>6555323.4306578944</v>
      </c>
      <c r="G976" s="477">
        <f t="shared" si="90"/>
        <v>6656433.8177631572</v>
      </c>
      <c r="H976" s="513">
        <f>+J966*G976+E976</f>
        <v>941675.49220277381</v>
      </c>
      <c r="I976" s="520">
        <f>+J967*G976+E976</f>
        <v>941675.49220277381</v>
      </c>
      <c r="J976" s="516">
        <f t="shared" si="91"/>
        <v>0</v>
      </c>
      <c r="K976" s="516"/>
      <c r="L976" s="521"/>
      <c r="M976" s="516">
        <f t="shared" si="92"/>
        <v>0</v>
      </c>
      <c r="N976" s="521"/>
      <c r="O976" s="516">
        <f t="shared" si="93"/>
        <v>0</v>
      </c>
      <c r="P976" s="516">
        <f t="shared" si="94"/>
        <v>0</v>
      </c>
      <c r="Q976" s="479"/>
    </row>
    <row r="977" spans="3:17">
      <c r="C977" s="512">
        <f>IF(D965="","-",+C976+1)</f>
        <v>2028</v>
      </c>
      <c r="D977" s="477">
        <f t="shared" si="95"/>
        <v>6555323.4306578944</v>
      </c>
      <c r="E977" s="519">
        <f t="shared" si="96"/>
        <v>202220.77421052635</v>
      </c>
      <c r="F977" s="519">
        <f t="shared" si="89"/>
        <v>6353102.6564473677</v>
      </c>
      <c r="G977" s="477">
        <f t="shared" si="90"/>
        <v>6454213.0435526315</v>
      </c>
      <c r="H977" s="513">
        <f>+J966*G977+E977</f>
        <v>919211.04507389548</v>
      </c>
      <c r="I977" s="520">
        <f>+J967*G977+E977</f>
        <v>919211.04507389548</v>
      </c>
      <c r="J977" s="516">
        <f t="shared" si="91"/>
        <v>0</v>
      </c>
      <c r="K977" s="516"/>
      <c r="L977" s="521"/>
      <c r="M977" s="516">
        <f t="shared" si="92"/>
        <v>0</v>
      </c>
      <c r="N977" s="521"/>
      <c r="O977" s="516">
        <f t="shared" si="93"/>
        <v>0</v>
      </c>
      <c r="P977" s="516">
        <f t="shared" si="94"/>
        <v>0</v>
      </c>
      <c r="Q977" s="479"/>
    </row>
    <row r="978" spans="3:17">
      <c r="C978" s="512">
        <f>IF(D965="","-",+C977+1)</f>
        <v>2029</v>
      </c>
      <c r="D978" s="477">
        <f t="shared" si="95"/>
        <v>6353102.6564473677</v>
      </c>
      <c r="E978" s="519">
        <f t="shared" si="96"/>
        <v>202220.77421052635</v>
      </c>
      <c r="F978" s="519">
        <f t="shared" si="89"/>
        <v>6150881.8822368411</v>
      </c>
      <c r="G978" s="477">
        <f t="shared" si="90"/>
        <v>6251992.269342104</v>
      </c>
      <c r="H978" s="513">
        <f>+J966*G978+E978</f>
        <v>896746.59794501693</v>
      </c>
      <c r="I978" s="520">
        <f>+J967*G978+E978</f>
        <v>896746.59794501693</v>
      </c>
      <c r="J978" s="516">
        <f t="shared" si="91"/>
        <v>0</v>
      </c>
      <c r="K978" s="516"/>
      <c r="L978" s="521"/>
      <c r="M978" s="516">
        <f t="shared" si="92"/>
        <v>0</v>
      </c>
      <c r="N978" s="521"/>
      <c r="O978" s="516">
        <f t="shared" si="93"/>
        <v>0</v>
      </c>
      <c r="P978" s="516">
        <f t="shared" si="94"/>
        <v>0</v>
      </c>
      <c r="Q978" s="479"/>
    </row>
    <row r="979" spans="3:17">
      <c r="C979" s="512">
        <f>IF(D965="","-",+C978+1)</f>
        <v>2030</v>
      </c>
      <c r="D979" s="477">
        <f t="shared" si="95"/>
        <v>6150881.8822368411</v>
      </c>
      <c r="E979" s="519">
        <f t="shared" si="96"/>
        <v>202220.77421052635</v>
      </c>
      <c r="F979" s="519">
        <f t="shared" si="89"/>
        <v>5948661.1080263145</v>
      </c>
      <c r="G979" s="477">
        <f t="shared" si="90"/>
        <v>6049771.4951315783</v>
      </c>
      <c r="H979" s="513">
        <f>+J966*G979+E979</f>
        <v>874282.1508161386</v>
      </c>
      <c r="I979" s="520">
        <f>+J967*G979+E979</f>
        <v>874282.1508161386</v>
      </c>
      <c r="J979" s="516">
        <f t="shared" si="91"/>
        <v>0</v>
      </c>
      <c r="K979" s="516"/>
      <c r="L979" s="521"/>
      <c r="M979" s="516">
        <f t="shared" si="92"/>
        <v>0</v>
      </c>
      <c r="N979" s="521"/>
      <c r="O979" s="516">
        <f t="shared" si="93"/>
        <v>0</v>
      </c>
      <c r="P979" s="516">
        <f t="shared" si="94"/>
        <v>0</v>
      </c>
      <c r="Q979" s="479"/>
    </row>
    <row r="980" spans="3:17">
      <c r="C980" s="512">
        <f>IF(D965="","-",+C979+1)</f>
        <v>2031</v>
      </c>
      <c r="D980" s="477">
        <f t="shared" si="95"/>
        <v>5948661.1080263145</v>
      </c>
      <c r="E980" s="519">
        <f t="shared" si="96"/>
        <v>202220.77421052635</v>
      </c>
      <c r="F980" s="519">
        <f t="shared" si="89"/>
        <v>5746440.3338157879</v>
      </c>
      <c r="G980" s="477">
        <f t="shared" si="90"/>
        <v>5847550.7209210508</v>
      </c>
      <c r="H980" s="513">
        <f>+J966*G980+E980</f>
        <v>851817.70368726004</v>
      </c>
      <c r="I980" s="520">
        <f>+J967*G980+E980</f>
        <v>851817.70368726004</v>
      </c>
      <c r="J980" s="516">
        <f t="shared" si="91"/>
        <v>0</v>
      </c>
      <c r="K980" s="516"/>
      <c r="L980" s="521"/>
      <c r="M980" s="516">
        <f t="shared" si="92"/>
        <v>0</v>
      </c>
      <c r="N980" s="521"/>
      <c r="O980" s="516">
        <f t="shared" si="93"/>
        <v>0</v>
      </c>
      <c r="P980" s="516">
        <f t="shared" si="94"/>
        <v>0</v>
      </c>
      <c r="Q980" s="479"/>
    </row>
    <row r="981" spans="3:17">
      <c r="C981" s="512">
        <f>IF(D965="","-",+C980+1)</f>
        <v>2032</v>
      </c>
      <c r="D981" s="477">
        <f t="shared" si="95"/>
        <v>5746440.3338157879</v>
      </c>
      <c r="E981" s="519">
        <f t="shared" si="96"/>
        <v>202220.77421052635</v>
      </c>
      <c r="F981" s="519">
        <f t="shared" si="89"/>
        <v>5544219.5596052613</v>
      </c>
      <c r="G981" s="477">
        <f t="shared" si="90"/>
        <v>5645329.9467105251</v>
      </c>
      <c r="H981" s="513">
        <f>+J966*G981+E981</f>
        <v>829353.25655838172</v>
      </c>
      <c r="I981" s="520">
        <f>+J967*G981+E981</f>
        <v>829353.25655838172</v>
      </c>
      <c r="J981" s="516">
        <f t="shared" si="91"/>
        <v>0</v>
      </c>
      <c r="K981" s="516"/>
      <c r="L981" s="521"/>
      <c r="M981" s="516">
        <f t="shared" si="92"/>
        <v>0</v>
      </c>
      <c r="N981" s="521"/>
      <c r="O981" s="516">
        <f t="shared" si="93"/>
        <v>0</v>
      </c>
      <c r="P981" s="516">
        <f t="shared" si="94"/>
        <v>0</v>
      </c>
      <c r="Q981" s="479"/>
    </row>
    <row r="982" spans="3:17">
      <c r="C982" s="512">
        <f>IF(D965="","-",+C981+1)</f>
        <v>2033</v>
      </c>
      <c r="D982" s="477">
        <f t="shared" si="95"/>
        <v>5544219.5596052613</v>
      </c>
      <c r="E982" s="519">
        <f t="shared" si="96"/>
        <v>202220.77421052635</v>
      </c>
      <c r="F982" s="519">
        <f t="shared" si="89"/>
        <v>5341998.7853947347</v>
      </c>
      <c r="G982" s="477">
        <f t="shared" si="90"/>
        <v>5443109.1724999975</v>
      </c>
      <c r="H982" s="513">
        <f>+J966*G982+E982</f>
        <v>806888.80942950316</v>
      </c>
      <c r="I982" s="520">
        <f>+J967*G982+E982</f>
        <v>806888.80942950316</v>
      </c>
      <c r="J982" s="516">
        <f t="shared" si="91"/>
        <v>0</v>
      </c>
      <c r="K982" s="516"/>
      <c r="L982" s="521"/>
      <c r="M982" s="516">
        <f t="shared" si="92"/>
        <v>0</v>
      </c>
      <c r="N982" s="521"/>
      <c r="O982" s="516">
        <f t="shared" si="93"/>
        <v>0</v>
      </c>
      <c r="P982" s="516">
        <f t="shared" si="94"/>
        <v>0</v>
      </c>
      <c r="Q982" s="479"/>
    </row>
    <row r="983" spans="3:17">
      <c r="C983" s="512">
        <f>IF(D965="","-",+C982+1)</f>
        <v>2034</v>
      </c>
      <c r="D983" s="477">
        <f t="shared" si="95"/>
        <v>5341998.7853947347</v>
      </c>
      <c r="E983" s="519">
        <f t="shared" si="96"/>
        <v>202220.77421052635</v>
      </c>
      <c r="F983" s="519">
        <f t="shared" si="89"/>
        <v>5139778.0111842081</v>
      </c>
      <c r="G983" s="477">
        <f t="shared" si="90"/>
        <v>5240888.3982894719</v>
      </c>
      <c r="H983" s="513">
        <f>+J966*G983+E983</f>
        <v>784424.36230062484</v>
      </c>
      <c r="I983" s="520">
        <f>+J967*G983+E983</f>
        <v>784424.36230062484</v>
      </c>
      <c r="J983" s="516">
        <f t="shared" si="91"/>
        <v>0</v>
      </c>
      <c r="K983" s="516"/>
      <c r="L983" s="521"/>
      <c r="M983" s="516">
        <f t="shared" si="92"/>
        <v>0</v>
      </c>
      <c r="N983" s="521"/>
      <c r="O983" s="516">
        <f t="shared" si="93"/>
        <v>0</v>
      </c>
      <c r="P983" s="516">
        <f t="shared" si="94"/>
        <v>0</v>
      </c>
      <c r="Q983" s="479"/>
    </row>
    <row r="984" spans="3:17">
      <c r="C984" s="512">
        <f>IF(D965="","-",+C983+1)</f>
        <v>2035</v>
      </c>
      <c r="D984" s="477">
        <f t="shared" si="95"/>
        <v>5139778.0111842081</v>
      </c>
      <c r="E984" s="519">
        <f t="shared" si="96"/>
        <v>202220.77421052635</v>
      </c>
      <c r="F984" s="519">
        <f t="shared" si="89"/>
        <v>4937557.2369736815</v>
      </c>
      <c r="G984" s="477">
        <f t="shared" si="90"/>
        <v>5038667.6240789443</v>
      </c>
      <c r="H984" s="513">
        <f>+J966*G984+E984</f>
        <v>761959.91517174628</v>
      </c>
      <c r="I984" s="520">
        <f>+J967*G984+E984</f>
        <v>761959.91517174628</v>
      </c>
      <c r="J984" s="516">
        <f t="shared" si="91"/>
        <v>0</v>
      </c>
      <c r="K984" s="516"/>
      <c r="L984" s="521"/>
      <c r="M984" s="516">
        <f t="shared" si="92"/>
        <v>0</v>
      </c>
      <c r="N984" s="521"/>
      <c r="O984" s="516">
        <f t="shared" si="93"/>
        <v>0</v>
      </c>
      <c r="P984" s="516">
        <f t="shared" si="94"/>
        <v>0</v>
      </c>
      <c r="Q984" s="479"/>
    </row>
    <row r="985" spans="3:17">
      <c r="C985" s="512">
        <f>IF(D965="","-",+C984+1)</f>
        <v>2036</v>
      </c>
      <c r="D985" s="477">
        <f t="shared" si="95"/>
        <v>4937557.2369736815</v>
      </c>
      <c r="E985" s="519">
        <f t="shared" si="96"/>
        <v>202220.77421052635</v>
      </c>
      <c r="F985" s="519">
        <f t="shared" si="89"/>
        <v>4735336.4627631549</v>
      </c>
      <c r="G985" s="477">
        <f t="shared" si="90"/>
        <v>4836446.8498684186</v>
      </c>
      <c r="H985" s="513">
        <f>+J966*G985+E985</f>
        <v>739495.46804286796</v>
      </c>
      <c r="I985" s="520">
        <f>+J967*G985+E985</f>
        <v>739495.46804286796</v>
      </c>
      <c r="J985" s="516">
        <f t="shared" si="91"/>
        <v>0</v>
      </c>
      <c r="K985" s="516"/>
      <c r="L985" s="521"/>
      <c r="M985" s="516">
        <f t="shared" si="92"/>
        <v>0</v>
      </c>
      <c r="N985" s="521"/>
      <c r="O985" s="516">
        <f t="shared" si="93"/>
        <v>0</v>
      </c>
      <c r="P985" s="516">
        <f t="shared" si="94"/>
        <v>0</v>
      </c>
      <c r="Q985" s="479"/>
    </row>
    <row r="986" spans="3:17">
      <c r="C986" s="512">
        <f>IF(D965="","-",+C985+1)</f>
        <v>2037</v>
      </c>
      <c r="D986" s="477">
        <f t="shared" si="95"/>
        <v>4735336.4627631549</v>
      </c>
      <c r="E986" s="519">
        <f t="shared" si="96"/>
        <v>202220.77421052635</v>
      </c>
      <c r="F986" s="519">
        <f t="shared" si="89"/>
        <v>4533115.6885526283</v>
      </c>
      <c r="G986" s="477">
        <f t="shared" si="90"/>
        <v>4634226.0756578911</v>
      </c>
      <c r="H986" s="513">
        <f>+J966*G986+E986</f>
        <v>717031.0209139894</v>
      </c>
      <c r="I986" s="520">
        <f>+J967*G986+E986</f>
        <v>717031.0209139894</v>
      </c>
      <c r="J986" s="516">
        <f t="shared" si="91"/>
        <v>0</v>
      </c>
      <c r="K986" s="516"/>
      <c r="L986" s="521"/>
      <c r="M986" s="516">
        <f t="shared" si="92"/>
        <v>0</v>
      </c>
      <c r="N986" s="521"/>
      <c r="O986" s="516">
        <f t="shared" si="93"/>
        <v>0</v>
      </c>
      <c r="P986" s="516">
        <f t="shared" si="94"/>
        <v>0</v>
      </c>
      <c r="Q986" s="479"/>
    </row>
    <row r="987" spans="3:17">
      <c r="C987" s="512">
        <f>IF(D965="","-",+C986+1)</f>
        <v>2038</v>
      </c>
      <c r="D987" s="477">
        <f t="shared" si="95"/>
        <v>4533115.6885526283</v>
      </c>
      <c r="E987" s="519">
        <f t="shared" si="96"/>
        <v>202220.77421052635</v>
      </c>
      <c r="F987" s="519">
        <f t="shared" si="89"/>
        <v>4330894.9143421017</v>
      </c>
      <c r="G987" s="477">
        <f t="shared" si="90"/>
        <v>4432005.3014473654</v>
      </c>
      <c r="H987" s="513">
        <f>+J966*G987+E987</f>
        <v>694566.57378511108</v>
      </c>
      <c r="I987" s="520">
        <f>+J967*G987+E987</f>
        <v>694566.57378511108</v>
      </c>
      <c r="J987" s="516">
        <f t="shared" si="91"/>
        <v>0</v>
      </c>
      <c r="K987" s="516"/>
      <c r="L987" s="521"/>
      <c r="M987" s="516">
        <f t="shared" si="92"/>
        <v>0</v>
      </c>
      <c r="N987" s="521"/>
      <c r="O987" s="516">
        <f t="shared" si="93"/>
        <v>0</v>
      </c>
      <c r="P987" s="516">
        <f t="shared" si="94"/>
        <v>0</v>
      </c>
      <c r="Q987" s="479"/>
    </row>
    <row r="988" spans="3:17">
      <c r="C988" s="512">
        <f>IF(D965="","-",+C987+1)</f>
        <v>2039</v>
      </c>
      <c r="D988" s="477">
        <f t="shared" si="95"/>
        <v>4330894.9143421017</v>
      </c>
      <c r="E988" s="519">
        <f t="shared" si="96"/>
        <v>202220.77421052635</v>
      </c>
      <c r="F988" s="519">
        <f t="shared" si="89"/>
        <v>4128674.1401315755</v>
      </c>
      <c r="G988" s="477">
        <f t="shared" si="90"/>
        <v>4229784.5272368388</v>
      </c>
      <c r="H988" s="513">
        <f>+J966*G988+E988</f>
        <v>672102.12665623263</v>
      </c>
      <c r="I988" s="520">
        <f>+J967*G988+E988</f>
        <v>672102.12665623263</v>
      </c>
      <c r="J988" s="516">
        <f t="shared" si="91"/>
        <v>0</v>
      </c>
      <c r="K988" s="516"/>
      <c r="L988" s="521"/>
      <c r="M988" s="516">
        <f t="shared" si="92"/>
        <v>0</v>
      </c>
      <c r="N988" s="521"/>
      <c r="O988" s="516">
        <f t="shared" si="93"/>
        <v>0</v>
      </c>
      <c r="P988" s="516">
        <f t="shared" si="94"/>
        <v>0</v>
      </c>
      <c r="Q988" s="479"/>
    </row>
    <row r="989" spans="3:17">
      <c r="C989" s="512">
        <f>IF(D965="","-",+C988+1)</f>
        <v>2040</v>
      </c>
      <c r="D989" s="477">
        <f t="shared" si="95"/>
        <v>4128674.1401315755</v>
      </c>
      <c r="E989" s="519">
        <f t="shared" si="96"/>
        <v>202220.77421052635</v>
      </c>
      <c r="F989" s="519">
        <f t="shared" si="89"/>
        <v>3926453.3659210494</v>
      </c>
      <c r="G989" s="477">
        <f t="shared" si="90"/>
        <v>4027563.7530263122</v>
      </c>
      <c r="H989" s="513">
        <f>+J966*G989+E989</f>
        <v>649637.67952735419</v>
      </c>
      <c r="I989" s="520">
        <f>+J967*G989+E989</f>
        <v>649637.67952735419</v>
      </c>
      <c r="J989" s="516">
        <f t="shared" si="91"/>
        <v>0</v>
      </c>
      <c r="K989" s="516"/>
      <c r="L989" s="521"/>
      <c r="M989" s="516">
        <f t="shared" si="92"/>
        <v>0</v>
      </c>
      <c r="N989" s="521"/>
      <c r="O989" s="516">
        <f t="shared" si="93"/>
        <v>0</v>
      </c>
      <c r="P989" s="516">
        <f t="shared" si="94"/>
        <v>0</v>
      </c>
      <c r="Q989" s="479"/>
    </row>
    <row r="990" spans="3:17">
      <c r="C990" s="512">
        <f>IF(D965="","-",+C989+1)</f>
        <v>2041</v>
      </c>
      <c r="D990" s="477">
        <f t="shared" si="95"/>
        <v>3926453.3659210494</v>
      </c>
      <c r="E990" s="519">
        <f t="shared" si="96"/>
        <v>202220.77421052635</v>
      </c>
      <c r="F990" s="519">
        <f t="shared" si="89"/>
        <v>3724232.5917105232</v>
      </c>
      <c r="G990" s="477">
        <f t="shared" si="90"/>
        <v>3825342.9788157865</v>
      </c>
      <c r="H990" s="513">
        <f>+J966*G990+E990</f>
        <v>627173.23239847587</v>
      </c>
      <c r="I990" s="520">
        <f>+J967*G990+E990</f>
        <v>627173.23239847587</v>
      </c>
      <c r="J990" s="516">
        <f t="shared" si="91"/>
        <v>0</v>
      </c>
      <c r="K990" s="516"/>
      <c r="L990" s="521"/>
      <c r="M990" s="516">
        <f t="shared" si="92"/>
        <v>0</v>
      </c>
      <c r="N990" s="521"/>
      <c r="O990" s="516">
        <f t="shared" si="93"/>
        <v>0</v>
      </c>
      <c r="P990" s="516">
        <f t="shared" si="94"/>
        <v>0</v>
      </c>
      <c r="Q990" s="479"/>
    </row>
    <row r="991" spans="3:17">
      <c r="C991" s="512">
        <f>IF(D965="","-",+C990+1)</f>
        <v>2042</v>
      </c>
      <c r="D991" s="477">
        <f t="shared" si="95"/>
        <v>3724232.5917105232</v>
      </c>
      <c r="E991" s="519">
        <f t="shared" si="96"/>
        <v>202220.77421052635</v>
      </c>
      <c r="F991" s="519">
        <f t="shared" si="89"/>
        <v>3522011.8174999971</v>
      </c>
      <c r="G991" s="477">
        <f t="shared" si="90"/>
        <v>3623122.2046052599</v>
      </c>
      <c r="H991" s="513">
        <f>+J966*G991+E991</f>
        <v>604708.78526959743</v>
      </c>
      <c r="I991" s="520">
        <f>+J967*G991+E991</f>
        <v>604708.78526959743</v>
      </c>
      <c r="J991" s="516">
        <f t="shared" si="91"/>
        <v>0</v>
      </c>
      <c r="K991" s="516"/>
      <c r="L991" s="521"/>
      <c r="M991" s="516">
        <f t="shared" si="92"/>
        <v>0</v>
      </c>
      <c r="N991" s="521"/>
      <c r="O991" s="516">
        <f t="shared" si="93"/>
        <v>0</v>
      </c>
      <c r="P991" s="516">
        <f t="shared" si="94"/>
        <v>0</v>
      </c>
      <c r="Q991" s="479"/>
    </row>
    <row r="992" spans="3:17">
      <c r="C992" s="512">
        <f>IF(D965="","-",+C991+1)</f>
        <v>2043</v>
      </c>
      <c r="D992" s="477">
        <f t="shared" si="95"/>
        <v>3522011.8174999971</v>
      </c>
      <c r="E992" s="519">
        <f t="shared" si="96"/>
        <v>202220.77421052635</v>
      </c>
      <c r="F992" s="519">
        <f t="shared" si="89"/>
        <v>3319791.043289471</v>
      </c>
      <c r="G992" s="477">
        <f t="shared" si="90"/>
        <v>3420901.4303947343</v>
      </c>
      <c r="H992" s="513">
        <f>+J966*G992+E992</f>
        <v>582244.3381407191</v>
      </c>
      <c r="I992" s="520">
        <f>+J967*G992+E992</f>
        <v>582244.3381407191</v>
      </c>
      <c r="J992" s="516">
        <f t="shared" si="91"/>
        <v>0</v>
      </c>
      <c r="K992" s="516"/>
      <c r="L992" s="521"/>
      <c r="M992" s="516">
        <f t="shared" si="92"/>
        <v>0</v>
      </c>
      <c r="N992" s="521"/>
      <c r="O992" s="516">
        <f t="shared" si="93"/>
        <v>0</v>
      </c>
      <c r="P992" s="516">
        <f t="shared" si="94"/>
        <v>0</v>
      </c>
      <c r="Q992" s="479"/>
    </row>
    <row r="993" spans="3:17">
      <c r="C993" s="512">
        <f>IF(D965="","-",+C992+1)</f>
        <v>2044</v>
      </c>
      <c r="D993" s="477">
        <f t="shared" si="95"/>
        <v>3319791.043289471</v>
      </c>
      <c r="E993" s="519">
        <f t="shared" si="96"/>
        <v>202220.77421052635</v>
      </c>
      <c r="F993" s="519">
        <f t="shared" si="89"/>
        <v>3117570.2690789448</v>
      </c>
      <c r="G993" s="477">
        <f t="shared" si="90"/>
        <v>3218680.6561842076</v>
      </c>
      <c r="H993" s="513">
        <f>+J966*G993+E993</f>
        <v>559779.89101184066</v>
      </c>
      <c r="I993" s="520">
        <f>+J967*G993+E993</f>
        <v>559779.89101184066</v>
      </c>
      <c r="J993" s="516">
        <f t="shared" si="91"/>
        <v>0</v>
      </c>
      <c r="K993" s="516"/>
      <c r="L993" s="521"/>
      <c r="M993" s="516">
        <f t="shared" si="92"/>
        <v>0</v>
      </c>
      <c r="N993" s="521"/>
      <c r="O993" s="516">
        <f t="shared" si="93"/>
        <v>0</v>
      </c>
      <c r="P993" s="516">
        <f t="shared" si="94"/>
        <v>0</v>
      </c>
      <c r="Q993" s="479"/>
    </row>
    <row r="994" spans="3:17">
      <c r="C994" s="512">
        <f>IF(D965="","-",+C993+1)</f>
        <v>2045</v>
      </c>
      <c r="D994" s="477">
        <f t="shared" si="95"/>
        <v>3117570.2690789448</v>
      </c>
      <c r="E994" s="519">
        <f t="shared" si="96"/>
        <v>202220.77421052635</v>
      </c>
      <c r="F994" s="519">
        <f t="shared" si="89"/>
        <v>2915349.4948684187</v>
      </c>
      <c r="G994" s="477">
        <f t="shared" si="90"/>
        <v>3016459.881973682</v>
      </c>
      <c r="H994" s="513">
        <f>+J966*G994+E994</f>
        <v>537315.44388296234</v>
      </c>
      <c r="I994" s="520">
        <f>+J967*G994+E994</f>
        <v>537315.44388296234</v>
      </c>
      <c r="J994" s="516">
        <f t="shared" si="91"/>
        <v>0</v>
      </c>
      <c r="K994" s="516"/>
      <c r="L994" s="521"/>
      <c r="M994" s="516">
        <f t="shared" si="92"/>
        <v>0</v>
      </c>
      <c r="N994" s="521"/>
      <c r="O994" s="516">
        <f t="shared" si="93"/>
        <v>0</v>
      </c>
      <c r="P994" s="516">
        <f t="shared" si="94"/>
        <v>0</v>
      </c>
      <c r="Q994" s="479"/>
    </row>
    <row r="995" spans="3:17">
      <c r="C995" s="512">
        <f>IF(D965="","-",+C994+1)</f>
        <v>2046</v>
      </c>
      <c r="D995" s="477">
        <f t="shared" si="95"/>
        <v>2915349.4948684187</v>
      </c>
      <c r="E995" s="519">
        <f t="shared" si="96"/>
        <v>202220.77421052635</v>
      </c>
      <c r="F995" s="519">
        <f t="shared" si="89"/>
        <v>2713128.7206578925</v>
      </c>
      <c r="G995" s="477">
        <f t="shared" si="90"/>
        <v>2814239.1077631554</v>
      </c>
      <c r="H995" s="513">
        <f>+J966*G995+E995</f>
        <v>514850.9967540839</v>
      </c>
      <c r="I995" s="520">
        <f>+J967*G995+E995</f>
        <v>514850.9967540839</v>
      </c>
      <c r="J995" s="516">
        <f t="shared" si="91"/>
        <v>0</v>
      </c>
      <c r="K995" s="516"/>
      <c r="L995" s="521"/>
      <c r="M995" s="516">
        <f t="shared" si="92"/>
        <v>0</v>
      </c>
      <c r="N995" s="521"/>
      <c r="O995" s="516">
        <f t="shared" si="93"/>
        <v>0</v>
      </c>
      <c r="P995" s="516">
        <f t="shared" si="94"/>
        <v>0</v>
      </c>
      <c r="Q995" s="479"/>
    </row>
    <row r="996" spans="3:17">
      <c r="C996" s="512">
        <f>IF(D965="","-",+C995+1)</f>
        <v>2047</v>
      </c>
      <c r="D996" s="477">
        <f t="shared" si="95"/>
        <v>2713128.7206578925</v>
      </c>
      <c r="E996" s="519">
        <f t="shared" si="96"/>
        <v>202220.77421052635</v>
      </c>
      <c r="F996" s="519">
        <f t="shared" si="89"/>
        <v>2510907.9464473664</v>
      </c>
      <c r="G996" s="477">
        <f t="shared" si="90"/>
        <v>2612018.3335526297</v>
      </c>
      <c r="H996" s="513">
        <f>+J966*G996+E996</f>
        <v>492386.54962520557</v>
      </c>
      <c r="I996" s="520">
        <f>+J967*G996+E996</f>
        <v>492386.54962520557</v>
      </c>
      <c r="J996" s="516">
        <f t="shared" si="91"/>
        <v>0</v>
      </c>
      <c r="K996" s="516"/>
      <c r="L996" s="521"/>
      <c r="M996" s="516">
        <f t="shared" si="92"/>
        <v>0</v>
      </c>
      <c r="N996" s="521"/>
      <c r="O996" s="516">
        <f t="shared" si="93"/>
        <v>0</v>
      </c>
      <c r="P996" s="516">
        <f t="shared" si="94"/>
        <v>0</v>
      </c>
      <c r="Q996" s="479"/>
    </row>
    <row r="997" spans="3:17">
      <c r="C997" s="512">
        <f>IF(D965="","-",+C996+1)</f>
        <v>2048</v>
      </c>
      <c r="D997" s="477">
        <f t="shared" si="95"/>
        <v>2510907.9464473664</v>
      </c>
      <c r="E997" s="519">
        <f t="shared" si="96"/>
        <v>202220.77421052635</v>
      </c>
      <c r="F997" s="519">
        <f t="shared" si="89"/>
        <v>2308687.1722368402</v>
      </c>
      <c r="G997" s="477">
        <f t="shared" si="90"/>
        <v>2409797.5593421031</v>
      </c>
      <c r="H997" s="513">
        <f>+J966*G997+E997</f>
        <v>469922.10249632713</v>
      </c>
      <c r="I997" s="520">
        <f>+J967*G997+E997</f>
        <v>469922.10249632713</v>
      </c>
      <c r="J997" s="516">
        <f t="shared" si="91"/>
        <v>0</v>
      </c>
      <c r="K997" s="516"/>
      <c r="L997" s="521"/>
      <c r="M997" s="516">
        <f t="shared" si="92"/>
        <v>0</v>
      </c>
      <c r="N997" s="521"/>
      <c r="O997" s="516">
        <f t="shared" si="93"/>
        <v>0</v>
      </c>
      <c r="P997" s="516">
        <f t="shared" si="94"/>
        <v>0</v>
      </c>
      <c r="Q997" s="479"/>
    </row>
    <row r="998" spans="3:17">
      <c r="C998" s="512">
        <f>IF(D965="","-",+C997+1)</f>
        <v>2049</v>
      </c>
      <c r="D998" s="477">
        <f t="shared" si="95"/>
        <v>2308687.1722368402</v>
      </c>
      <c r="E998" s="519">
        <f t="shared" si="96"/>
        <v>202220.77421052635</v>
      </c>
      <c r="F998" s="519">
        <f t="shared" si="89"/>
        <v>2106466.3980263141</v>
      </c>
      <c r="G998" s="477">
        <f t="shared" si="90"/>
        <v>2207576.7851315774</v>
      </c>
      <c r="H998" s="513">
        <f>+J966*G998+E998</f>
        <v>447457.65536744875</v>
      </c>
      <c r="I998" s="520">
        <f>+J967*G998+E998</f>
        <v>447457.65536744875</v>
      </c>
      <c r="J998" s="516">
        <f t="shared" si="91"/>
        <v>0</v>
      </c>
      <c r="K998" s="516"/>
      <c r="L998" s="521"/>
      <c r="M998" s="516">
        <f t="shared" si="92"/>
        <v>0</v>
      </c>
      <c r="N998" s="521"/>
      <c r="O998" s="516">
        <f t="shared" si="93"/>
        <v>0</v>
      </c>
      <c r="P998" s="516">
        <f t="shared" si="94"/>
        <v>0</v>
      </c>
      <c r="Q998" s="479"/>
    </row>
    <row r="999" spans="3:17">
      <c r="C999" s="512">
        <f>IF(D965="","-",+C998+1)</f>
        <v>2050</v>
      </c>
      <c r="D999" s="477">
        <f t="shared" si="95"/>
        <v>2106466.3980263141</v>
      </c>
      <c r="E999" s="519">
        <f t="shared" si="96"/>
        <v>202220.77421052635</v>
      </c>
      <c r="F999" s="519">
        <f t="shared" si="89"/>
        <v>1904245.6238157877</v>
      </c>
      <c r="G999" s="477">
        <f t="shared" si="90"/>
        <v>2005356.0109210508</v>
      </c>
      <c r="H999" s="513">
        <f>+J966*G999+E999</f>
        <v>424993.20823857031</v>
      </c>
      <c r="I999" s="520">
        <f>+J967*G999+E999</f>
        <v>424993.20823857031</v>
      </c>
      <c r="J999" s="516">
        <f t="shared" si="91"/>
        <v>0</v>
      </c>
      <c r="K999" s="516"/>
      <c r="L999" s="521"/>
      <c r="M999" s="516">
        <f t="shared" si="92"/>
        <v>0</v>
      </c>
      <c r="N999" s="521"/>
      <c r="O999" s="516">
        <f t="shared" si="93"/>
        <v>0</v>
      </c>
      <c r="P999" s="516">
        <f t="shared" si="94"/>
        <v>0</v>
      </c>
      <c r="Q999" s="479"/>
    </row>
    <row r="1000" spans="3:17">
      <c r="C1000" s="512">
        <f>IF(D965="","-",+C999+1)</f>
        <v>2051</v>
      </c>
      <c r="D1000" s="477">
        <f t="shared" si="95"/>
        <v>1904245.6238157877</v>
      </c>
      <c r="E1000" s="519">
        <f t="shared" si="96"/>
        <v>202220.77421052635</v>
      </c>
      <c r="F1000" s="519">
        <f t="shared" si="89"/>
        <v>1702024.8496052613</v>
      </c>
      <c r="G1000" s="477">
        <f t="shared" si="90"/>
        <v>1803135.2367105247</v>
      </c>
      <c r="H1000" s="513">
        <f>+J966*G1000+E1000</f>
        <v>402528.76110969193</v>
      </c>
      <c r="I1000" s="520">
        <f>+J967*G1000+E1000</f>
        <v>402528.76110969193</v>
      </c>
      <c r="J1000" s="516">
        <f t="shared" si="91"/>
        <v>0</v>
      </c>
      <c r="K1000" s="516"/>
      <c r="L1000" s="521"/>
      <c r="M1000" s="516">
        <f t="shared" si="92"/>
        <v>0</v>
      </c>
      <c r="N1000" s="521"/>
      <c r="O1000" s="516">
        <f t="shared" si="93"/>
        <v>0</v>
      </c>
      <c r="P1000" s="516">
        <f t="shared" si="94"/>
        <v>0</v>
      </c>
      <c r="Q1000" s="479"/>
    </row>
    <row r="1001" spans="3:17">
      <c r="C1001" s="512">
        <f>IF(D965="","-",+C1000+1)</f>
        <v>2052</v>
      </c>
      <c r="D1001" s="477">
        <f t="shared" si="95"/>
        <v>1702024.8496052613</v>
      </c>
      <c r="E1001" s="519">
        <f t="shared" si="96"/>
        <v>202220.77421052635</v>
      </c>
      <c r="F1001" s="519">
        <f t="shared" si="89"/>
        <v>1499804.075394735</v>
      </c>
      <c r="G1001" s="477">
        <f t="shared" si="90"/>
        <v>1600914.462499998</v>
      </c>
      <c r="H1001" s="513">
        <f>+J966*G1001+E1001</f>
        <v>380064.31398081349</v>
      </c>
      <c r="I1001" s="520">
        <f>+J967*G1001+E1001</f>
        <v>380064.31398081349</v>
      </c>
      <c r="J1001" s="516">
        <f t="shared" si="91"/>
        <v>0</v>
      </c>
      <c r="K1001" s="516"/>
      <c r="L1001" s="521"/>
      <c r="M1001" s="516">
        <f t="shared" si="92"/>
        <v>0</v>
      </c>
      <c r="N1001" s="521"/>
      <c r="O1001" s="516">
        <f t="shared" si="93"/>
        <v>0</v>
      </c>
      <c r="P1001" s="516">
        <f t="shared" si="94"/>
        <v>0</v>
      </c>
      <c r="Q1001" s="479"/>
    </row>
    <row r="1002" spans="3:17">
      <c r="C1002" s="512">
        <f>IF(D965="","-",+C1001+1)</f>
        <v>2053</v>
      </c>
      <c r="D1002" s="477">
        <f t="shared" si="95"/>
        <v>1499804.075394735</v>
      </c>
      <c r="E1002" s="519">
        <f t="shared" si="96"/>
        <v>202220.77421052635</v>
      </c>
      <c r="F1002" s="519">
        <f t="shared" si="89"/>
        <v>1297583.3011842086</v>
      </c>
      <c r="G1002" s="477">
        <f t="shared" si="90"/>
        <v>1398693.6882894719</v>
      </c>
      <c r="H1002" s="513">
        <f>+J966*G1002+E1002</f>
        <v>357599.8668519351</v>
      </c>
      <c r="I1002" s="520">
        <f>+J967*G1002+E1002</f>
        <v>357599.8668519351</v>
      </c>
      <c r="J1002" s="516">
        <f t="shared" si="91"/>
        <v>0</v>
      </c>
      <c r="K1002" s="516"/>
      <c r="L1002" s="521"/>
      <c r="M1002" s="516">
        <f t="shared" si="92"/>
        <v>0</v>
      </c>
      <c r="N1002" s="521"/>
      <c r="O1002" s="516">
        <f t="shared" si="93"/>
        <v>0</v>
      </c>
      <c r="P1002" s="516">
        <f t="shared" si="94"/>
        <v>0</v>
      </c>
      <c r="Q1002" s="479"/>
    </row>
    <row r="1003" spans="3:17">
      <c r="C1003" s="512">
        <f>IF(D965="","-",+C1002+1)</f>
        <v>2054</v>
      </c>
      <c r="D1003" s="477">
        <f t="shared" si="95"/>
        <v>1297583.3011842086</v>
      </c>
      <c r="E1003" s="519">
        <f t="shared" si="96"/>
        <v>202220.77421052635</v>
      </c>
      <c r="F1003" s="519">
        <f t="shared" si="89"/>
        <v>1095362.5269736822</v>
      </c>
      <c r="G1003" s="477">
        <f t="shared" si="90"/>
        <v>1196472.9140789453</v>
      </c>
      <c r="H1003" s="513">
        <f>+J966*G1003+E1003</f>
        <v>335135.41972305666</v>
      </c>
      <c r="I1003" s="520">
        <f>+J967*G1003+E1003</f>
        <v>335135.41972305666</v>
      </c>
      <c r="J1003" s="516">
        <f t="shared" si="91"/>
        <v>0</v>
      </c>
      <c r="K1003" s="516"/>
      <c r="L1003" s="521"/>
      <c r="M1003" s="516">
        <f t="shared" si="92"/>
        <v>0</v>
      </c>
      <c r="N1003" s="521"/>
      <c r="O1003" s="516">
        <f t="shared" si="93"/>
        <v>0</v>
      </c>
      <c r="P1003" s="516">
        <f t="shared" si="94"/>
        <v>0</v>
      </c>
      <c r="Q1003" s="479"/>
    </row>
    <row r="1004" spans="3:17">
      <c r="C1004" s="512">
        <f>IF(D965="","-",+C1003+1)</f>
        <v>2055</v>
      </c>
      <c r="D1004" s="477">
        <f t="shared" si="95"/>
        <v>1095362.5269736822</v>
      </c>
      <c r="E1004" s="519">
        <f t="shared" si="96"/>
        <v>202220.77421052635</v>
      </c>
      <c r="F1004" s="519">
        <f t="shared" si="89"/>
        <v>893141.75276315585</v>
      </c>
      <c r="G1004" s="477">
        <f t="shared" si="90"/>
        <v>994252.13986841904</v>
      </c>
      <c r="H1004" s="513">
        <f>+J966*G1004+E1004</f>
        <v>312670.97259417828</v>
      </c>
      <c r="I1004" s="520">
        <f>+J967*G1004+E1004</f>
        <v>312670.97259417828</v>
      </c>
      <c r="J1004" s="516">
        <f t="shared" si="91"/>
        <v>0</v>
      </c>
      <c r="K1004" s="516"/>
      <c r="L1004" s="521"/>
      <c r="M1004" s="516">
        <f t="shared" si="92"/>
        <v>0</v>
      </c>
      <c r="N1004" s="521"/>
      <c r="O1004" s="516">
        <f t="shared" si="93"/>
        <v>0</v>
      </c>
      <c r="P1004" s="516">
        <f t="shared" si="94"/>
        <v>0</v>
      </c>
      <c r="Q1004" s="479"/>
    </row>
    <row r="1005" spans="3:17">
      <c r="C1005" s="512">
        <f>IF(D965="","-",+C1004+1)</f>
        <v>2056</v>
      </c>
      <c r="D1005" s="477">
        <f t="shared" si="95"/>
        <v>893141.75276315585</v>
      </c>
      <c r="E1005" s="519">
        <f t="shared" si="96"/>
        <v>202220.77421052635</v>
      </c>
      <c r="F1005" s="519">
        <f t="shared" si="89"/>
        <v>690920.97855262947</v>
      </c>
      <c r="G1005" s="477">
        <f t="shared" si="90"/>
        <v>792031.36565789266</v>
      </c>
      <c r="H1005" s="513">
        <f>+J966*G1005+E1005</f>
        <v>290206.52546529984</v>
      </c>
      <c r="I1005" s="520">
        <f>+J967*G1005+E1005</f>
        <v>290206.52546529984</v>
      </c>
      <c r="J1005" s="516">
        <f t="shared" si="91"/>
        <v>0</v>
      </c>
      <c r="K1005" s="516"/>
      <c r="L1005" s="521"/>
      <c r="M1005" s="516">
        <f t="shared" si="92"/>
        <v>0</v>
      </c>
      <c r="N1005" s="521"/>
      <c r="O1005" s="516">
        <f t="shared" si="93"/>
        <v>0</v>
      </c>
      <c r="P1005" s="516">
        <f t="shared" si="94"/>
        <v>0</v>
      </c>
      <c r="Q1005" s="479"/>
    </row>
    <row r="1006" spans="3:17">
      <c r="C1006" s="512">
        <f>IF(D965="","-",+C1005+1)</f>
        <v>2057</v>
      </c>
      <c r="D1006" s="477">
        <f t="shared" si="95"/>
        <v>690920.97855262947</v>
      </c>
      <c r="E1006" s="519">
        <f t="shared" si="96"/>
        <v>202220.77421052635</v>
      </c>
      <c r="F1006" s="519">
        <f t="shared" si="89"/>
        <v>488700.2043421031</v>
      </c>
      <c r="G1006" s="477">
        <f t="shared" si="90"/>
        <v>589810.59144736629</v>
      </c>
      <c r="H1006" s="513">
        <f>+J966*G1006+E1006</f>
        <v>267742.07833642146</v>
      </c>
      <c r="I1006" s="520">
        <f>+J967*G1006+E1006</f>
        <v>267742.07833642146</v>
      </c>
      <c r="J1006" s="516">
        <f t="shared" si="91"/>
        <v>0</v>
      </c>
      <c r="K1006" s="516"/>
      <c r="L1006" s="521"/>
      <c r="M1006" s="516">
        <f t="shared" si="92"/>
        <v>0</v>
      </c>
      <c r="N1006" s="521"/>
      <c r="O1006" s="516">
        <f t="shared" si="93"/>
        <v>0</v>
      </c>
      <c r="P1006" s="516">
        <f t="shared" si="94"/>
        <v>0</v>
      </c>
      <c r="Q1006" s="479"/>
    </row>
    <row r="1007" spans="3:17">
      <c r="C1007" s="512">
        <f>IF(D965="","-",+C1006+1)</f>
        <v>2058</v>
      </c>
      <c r="D1007" s="477">
        <f t="shared" si="95"/>
        <v>488700.2043421031</v>
      </c>
      <c r="E1007" s="519">
        <f t="shared" si="96"/>
        <v>202220.77421052635</v>
      </c>
      <c r="F1007" s="519">
        <f t="shared" si="89"/>
        <v>286479.43013157672</v>
      </c>
      <c r="G1007" s="477">
        <f t="shared" si="90"/>
        <v>387589.81723683991</v>
      </c>
      <c r="H1007" s="513">
        <f>+J966*G1007+E1007</f>
        <v>245277.63120754305</v>
      </c>
      <c r="I1007" s="520">
        <f>+J967*G1007+E1007</f>
        <v>245277.63120754305</v>
      </c>
      <c r="J1007" s="516">
        <f t="shared" si="91"/>
        <v>0</v>
      </c>
      <c r="K1007" s="516"/>
      <c r="L1007" s="521"/>
      <c r="M1007" s="516">
        <f t="shared" si="92"/>
        <v>0</v>
      </c>
      <c r="N1007" s="521"/>
      <c r="O1007" s="516">
        <f t="shared" si="93"/>
        <v>0</v>
      </c>
      <c r="P1007" s="516">
        <f t="shared" si="94"/>
        <v>0</v>
      </c>
      <c r="Q1007" s="479"/>
    </row>
    <row r="1008" spans="3:17">
      <c r="C1008" s="512">
        <f>IF(D965="","-",+C1007+1)</f>
        <v>2059</v>
      </c>
      <c r="D1008" s="477">
        <f t="shared" si="95"/>
        <v>286479.43013157672</v>
      </c>
      <c r="E1008" s="519">
        <f t="shared" si="96"/>
        <v>202220.77421052635</v>
      </c>
      <c r="F1008" s="519">
        <f t="shared" si="89"/>
        <v>84258.655921050376</v>
      </c>
      <c r="G1008" s="477">
        <f t="shared" si="90"/>
        <v>185369.04302631353</v>
      </c>
      <c r="H1008" s="513">
        <f>+J966*G1008+E1008</f>
        <v>222813.18407866464</v>
      </c>
      <c r="I1008" s="520">
        <f>+J967*G1008+E1008</f>
        <v>222813.18407866464</v>
      </c>
      <c r="J1008" s="516">
        <f t="shared" si="91"/>
        <v>0</v>
      </c>
      <c r="K1008" s="516"/>
      <c r="L1008" s="521"/>
      <c r="M1008" s="516">
        <f t="shared" si="92"/>
        <v>0</v>
      </c>
      <c r="N1008" s="521"/>
      <c r="O1008" s="516">
        <f t="shared" si="93"/>
        <v>0</v>
      </c>
      <c r="P1008" s="516">
        <f t="shared" si="94"/>
        <v>0</v>
      </c>
      <c r="Q1008" s="479"/>
    </row>
    <row r="1009" spans="3:17">
      <c r="C1009" s="512">
        <f>IF(D965="","-",+C1008+1)</f>
        <v>2060</v>
      </c>
      <c r="D1009" s="477">
        <f t="shared" si="95"/>
        <v>84258.655921050376</v>
      </c>
      <c r="E1009" s="519">
        <f t="shared" si="96"/>
        <v>84258.655921050376</v>
      </c>
      <c r="F1009" s="519">
        <f t="shared" si="89"/>
        <v>0</v>
      </c>
      <c r="G1009" s="477">
        <f t="shared" si="90"/>
        <v>42129.327960525188</v>
      </c>
      <c r="H1009" s="513">
        <f>+J966*G1009+E1009</f>
        <v>88938.749072899926</v>
      </c>
      <c r="I1009" s="520">
        <f>+J967*G1009+E1009</f>
        <v>88938.749072899926</v>
      </c>
      <c r="J1009" s="516">
        <f t="shared" si="91"/>
        <v>0</v>
      </c>
      <c r="K1009" s="516"/>
      <c r="L1009" s="521"/>
      <c r="M1009" s="516">
        <f t="shared" si="92"/>
        <v>0</v>
      </c>
      <c r="N1009" s="521"/>
      <c r="O1009" s="516">
        <f t="shared" si="93"/>
        <v>0</v>
      </c>
      <c r="P1009" s="516">
        <f t="shared" si="94"/>
        <v>0</v>
      </c>
      <c r="Q1009" s="479"/>
    </row>
    <row r="1010" spans="3:17">
      <c r="C1010" s="512">
        <f>IF(D965="","-",+C1009+1)</f>
        <v>2061</v>
      </c>
      <c r="D1010" s="477">
        <f t="shared" si="95"/>
        <v>0</v>
      </c>
      <c r="E1010" s="519">
        <f t="shared" si="96"/>
        <v>0</v>
      </c>
      <c r="F1010" s="519">
        <f t="shared" si="89"/>
        <v>0</v>
      </c>
      <c r="G1010" s="477">
        <f t="shared" si="90"/>
        <v>0</v>
      </c>
      <c r="H1010" s="513">
        <f>+J966*G1010+E1010</f>
        <v>0</v>
      </c>
      <c r="I1010" s="520">
        <f>+J967*G1010+E1010</f>
        <v>0</v>
      </c>
      <c r="J1010" s="516">
        <f t="shared" si="91"/>
        <v>0</v>
      </c>
      <c r="K1010" s="516"/>
      <c r="L1010" s="521"/>
      <c r="M1010" s="516">
        <f t="shared" si="92"/>
        <v>0</v>
      </c>
      <c r="N1010" s="521"/>
      <c r="O1010" s="516">
        <f t="shared" si="93"/>
        <v>0</v>
      </c>
      <c r="P1010" s="516">
        <f t="shared" si="94"/>
        <v>0</v>
      </c>
      <c r="Q1010" s="479"/>
    </row>
    <row r="1011" spans="3:17">
      <c r="C1011" s="512">
        <f>IF(D965="","-",+C1010+1)</f>
        <v>2062</v>
      </c>
      <c r="D1011" s="477">
        <f t="shared" si="95"/>
        <v>0</v>
      </c>
      <c r="E1011" s="519">
        <f t="shared" si="96"/>
        <v>0</v>
      </c>
      <c r="F1011" s="519">
        <f t="shared" si="89"/>
        <v>0</v>
      </c>
      <c r="G1011" s="477">
        <f t="shared" si="90"/>
        <v>0</v>
      </c>
      <c r="H1011" s="513">
        <f>+J966*G1011+E1011</f>
        <v>0</v>
      </c>
      <c r="I1011" s="520">
        <f>+J967*G1011+E1011</f>
        <v>0</v>
      </c>
      <c r="J1011" s="516">
        <f t="shared" si="91"/>
        <v>0</v>
      </c>
      <c r="K1011" s="516"/>
      <c r="L1011" s="521"/>
      <c r="M1011" s="516">
        <f t="shared" si="92"/>
        <v>0</v>
      </c>
      <c r="N1011" s="521"/>
      <c r="O1011" s="516">
        <f t="shared" si="93"/>
        <v>0</v>
      </c>
      <c r="P1011" s="516">
        <f t="shared" si="94"/>
        <v>0</v>
      </c>
      <c r="Q1011" s="479"/>
    </row>
    <row r="1012" spans="3:17">
      <c r="C1012" s="512">
        <f>IF(D965="","-",+C1011+1)</f>
        <v>2063</v>
      </c>
      <c r="D1012" s="477">
        <f t="shared" si="95"/>
        <v>0</v>
      </c>
      <c r="E1012" s="519">
        <f t="shared" si="96"/>
        <v>0</v>
      </c>
      <c r="F1012" s="519">
        <f t="shared" si="89"/>
        <v>0</v>
      </c>
      <c r="G1012" s="477">
        <f t="shared" si="90"/>
        <v>0</v>
      </c>
      <c r="H1012" s="513">
        <f>+J966*G1012+E1012</f>
        <v>0</v>
      </c>
      <c r="I1012" s="520">
        <f>+J967*G1012+E1012</f>
        <v>0</v>
      </c>
      <c r="J1012" s="516">
        <f t="shared" si="91"/>
        <v>0</v>
      </c>
      <c r="K1012" s="516"/>
      <c r="L1012" s="521"/>
      <c r="M1012" s="516">
        <f t="shared" si="92"/>
        <v>0</v>
      </c>
      <c r="N1012" s="521"/>
      <c r="O1012" s="516">
        <f t="shared" si="93"/>
        <v>0</v>
      </c>
      <c r="P1012" s="516">
        <f t="shared" si="94"/>
        <v>0</v>
      </c>
      <c r="Q1012" s="479"/>
    </row>
    <row r="1013" spans="3:17">
      <c r="C1013" s="512">
        <f>IF(D965="","-",+C1012+1)</f>
        <v>2064</v>
      </c>
      <c r="D1013" s="477">
        <f t="shared" si="95"/>
        <v>0</v>
      </c>
      <c r="E1013" s="519">
        <f t="shared" si="96"/>
        <v>0</v>
      </c>
      <c r="F1013" s="519">
        <f t="shared" si="89"/>
        <v>0</v>
      </c>
      <c r="G1013" s="477">
        <f t="shared" si="90"/>
        <v>0</v>
      </c>
      <c r="H1013" s="513">
        <f>+J966*G1013+E1013</f>
        <v>0</v>
      </c>
      <c r="I1013" s="520">
        <f>+J967*G1013+E1013</f>
        <v>0</v>
      </c>
      <c r="J1013" s="516">
        <f t="shared" si="91"/>
        <v>0</v>
      </c>
      <c r="K1013" s="516"/>
      <c r="L1013" s="521"/>
      <c r="M1013" s="516">
        <f t="shared" si="92"/>
        <v>0</v>
      </c>
      <c r="N1013" s="521"/>
      <c r="O1013" s="516">
        <f t="shared" si="93"/>
        <v>0</v>
      </c>
      <c r="P1013" s="516">
        <f t="shared" si="94"/>
        <v>0</v>
      </c>
      <c r="Q1013" s="479"/>
    </row>
    <row r="1014" spans="3:17">
      <c r="C1014" s="512">
        <f>IF(D965="","-",+C1013+1)</f>
        <v>2065</v>
      </c>
      <c r="D1014" s="477">
        <f t="shared" si="95"/>
        <v>0</v>
      </c>
      <c r="E1014" s="519">
        <f t="shared" si="96"/>
        <v>0</v>
      </c>
      <c r="F1014" s="519">
        <f t="shared" si="89"/>
        <v>0</v>
      </c>
      <c r="G1014" s="477">
        <f t="shared" si="90"/>
        <v>0</v>
      </c>
      <c r="H1014" s="513">
        <f>+J966*G1014+E1014</f>
        <v>0</v>
      </c>
      <c r="I1014" s="520">
        <f>+J967*G1014+E1014</f>
        <v>0</v>
      </c>
      <c r="J1014" s="516">
        <f t="shared" si="91"/>
        <v>0</v>
      </c>
      <c r="K1014" s="516"/>
      <c r="L1014" s="521"/>
      <c r="M1014" s="516">
        <f t="shared" si="92"/>
        <v>0</v>
      </c>
      <c r="N1014" s="521"/>
      <c r="O1014" s="516">
        <f t="shared" si="93"/>
        <v>0</v>
      </c>
      <c r="P1014" s="516">
        <f t="shared" si="94"/>
        <v>0</v>
      </c>
      <c r="Q1014" s="479"/>
    </row>
    <row r="1015" spans="3:17">
      <c r="C1015" s="512">
        <f>IF(D965="","-",+C1014+1)</f>
        <v>2066</v>
      </c>
      <c r="D1015" s="477">
        <f t="shared" si="95"/>
        <v>0</v>
      </c>
      <c r="E1015" s="519">
        <f t="shared" si="96"/>
        <v>0</v>
      </c>
      <c r="F1015" s="519">
        <f t="shared" si="89"/>
        <v>0</v>
      </c>
      <c r="G1015" s="477">
        <f t="shared" si="90"/>
        <v>0</v>
      </c>
      <c r="H1015" s="513">
        <f>+J966*G1015+E1015</f>
        <v>0</v>
      </c>
      <c r="I1015" s="520">
        <f>+J967*G1015+E1015</f>
        <v>0</v>
      </c>
      <c r="J1015" s="516">
        <f t="shared" si="91"/>
        <v>0</v>
      </c>
      <c r="K1015" s="516"/>
      <c r="L1015" s="521"/>
      <c r="M1015" s="516">
        <f t="shared" si="92"/>
        <v>0</v>
      </c>
      <c r="N1015" s="521"/>
      <c r="O1015" s="516">
        <f t="shared" si="93"/>
        <v>0</v>
      </c>
      <c r="P1015" s="516">
        <f t="shared" si="94"/>
        <v>0</v>
      </c>
      <c r="Q1015" s="479"/>
    </row>
    <row r="1016" spans="3:17">
      <c r="C1016" s="512">
        <f>IF(D965="","-",+C1015+1)</f>
        <v>2067</v>
      </c>
      <c r="D1016" s="477">
        <f t="shared" si="95"/>
        <v>0</v>
      </c>
      <c r="E1016" s="519">
        <f t="shared" si="96"/>
        <v>0</v>
      </c>
      <c r="F1016" s="519">
        <f t="shared" si="89"/>
        <v>0</v>
      </c>
      <c r="G1016" s="477">
        <f t="shared" si="90"/>
        <v>0</v>
      </c>
      <c r="H1016" s="513">
        <f>+J966*G1016+E1016</f>
        <v>0</v>
      </c>
      <c r="I1016" s="520">
        <f>+J967*G1016+E1016</f>
        <v>0</v>
      </c>
      <c r="J1016" s="516">
        <f t="shared" si="91"/>
        <v>0</v>
      </c>
      <c r="K1016" s="516"/>
      <c r="L1016" s="521"/>
      <c r="M1016" s="516">
        <f t="shared" si="92"/>
        <v>0</v>
      </c>
      <c r="N1016" s="521"/>
      <c r="O1016" s="516">
        <f t="shared" si="93"/>
        <v>0</v>
      </c>
      <c r="P1016" s="516">
        <f t="shared" si="94"/>
        <v>0</v>
      </c>
      <c r="Q1016" s="479"/>
    </row>
    <row r="1017" spans="3:17">
      <c r="C1017" s="512">
        <f>IF(D965="","-",+C1016+1)</f>
        <v>2068</v>
      </c>
      <c r="D1017" s="477">
        <f t="shared" si="95"/>
        <v>0</v>
      </c>
      <c r="E1017" s="519">
        <f t="shared" si="96"/>
        <v>0</v>
      </c>
      <c r="F1017" s="519">
        <f t="shared" si="89"/>
        <v>0</v>
      </c>
      <c r="G1017" s="477">
        <f t="shared" si="90"/>
        <v>0</v>
      </c>
      <c r="H1017" s="513">
        <f>+J966*G1017+E1017</f>
        <v>0</v>
      </c>
      <c r="I1017" s="520">
        <f>+J967*G1017+E1017</f>
        <v>0</v>
      </c>
      <c r="J1017" s="516">
        <f t="shared" si="91"/>
        <v>0</v>
      </c>
      <c r="K1017" s="516"/>
      <c r="L1017" s="521"/>
      <c r="M1017" s="516">
        <f t="shared" si="92"/>
        <v>0</v>
      </c>
      <c r="N1017" s="521"/>
      <c r="O1017" s="516">
        <f t="shared" si="93"/>
        <v>0</v>
      </c>
      <c r="P1017" s="516">
        <f t="shared" si="94"/>
        <v>0</v>
      </c>
      <c r="Q1017" s="479"/>
    </row>
    <row r="1018" spans="3:17">
      <c r="C1018" s="512">
        <f>IF(D965="","-",+C1017+1)</f>
        <v>2069</v>
      </c>
      <c r="D1018" s="477">
        <f t="shared" si="95"/>
        <v>0</v>
      </c>
      <c r="E1018" s="519">
        <f t="shared" si="96"/>
        <v>0</v>
      </c>
      <c r="F1018" s="519">
        <f t="shared" si="89"/>
        <v>0</v>
      </c>
      <c r="G1018" s="477">
        <f t="shared" si="90"/>
        <v>0</v>
      </c>
      <c r="H1018" s="513">
        <f>+J966*G1018+E1018</f>
        <v>0</v>
      </c>
      <c r="I1018" s="520">
        <f>+J967*G1018+E1018</f>
        <v>0</v>
      </c>
      <c r="J1018" s="516">
        <f t="shared" si="91"/>
        <v>0</v>
      </c>
      <c r="K1018" s="516"/>
      <c r="L1018" s="521"/>
      <c r="M1018" s="516">
        <f t="shared" si="92"/>
        <v>0</v>
      </c>
      <c r="N1018" s="521"/>
      <c r="O1018" s="516">
        <f t="shared" si="93"/>
        <v>0</v>
      </c>
      <c r="P1018" s="516">
        <f t="shared" si="94"/>
        <v>0</v>
      </c>
      <c r="Q1018" s="479"/>
    </row>
    <row r="1019" spans="3:17">
      <c r="C1019" s="512">
        <f>IF(D965="","-",+C1018+1)</f>
        <v>2070</v>
      </c>
      <c r="D1019" s="477">
        <f t="shared" si="95"/>
        <v>0</v>
      </c>
      <c r="E1019" s="519">
        <f t="shared" si="96"/>
        <v>0</v>
      </c>
      <c r="F1019" s="519">
        <f t="shared" si="89"/>
        <v>0</v>
      </c>
      <c r="G1019" s="477">
        <f t="shared" si="90"/>
        <v>0</v>
      </c>
      <c r="H1019" s="513">
        <f>+J966*G1019+E1019</f>
        <v>0</v>
      </c>
      <c r="I1019" s="520">
        <f>+J967*G1019+E1019</f>
        <v>0</v>
      </c>
      <c r="J1019" s="516">
        <f t="shared" si="91"/>
        <v>0</v>
      </c>
      <c r="K1019" s="516"/>
      <c r="L1019" s="521"/>
      <c r="M1019" s="516">
        <f t="shared" si="92"/>
        <v>0</v>
      </c>
      <c r="N1019" s="521"/>
      <c r="O1019" s="516">
        <f t="shared" si="93"/>
        <v>0</v>
      </c>
      <c r="P1019" s="516">
        <f t="shared" si="94"/>
        <v>0</v>
      </c>
      <c r="Q1019" s="479"/>
    </row>
    <row r="1020" spans="3:17">
      <c r="C1020" s="512">
        <f>IF(D965="","-",+C1019+1)</f>
        <v>2071</v>
      </c>
      <c r="D1020" s="477">
        <f t="shared" si="95"/>
        <v>0</v>
      </c>
      <c r="E1020" s="519">
        <f t="shared" si="96"/>
        <v>0</v>
      </c>
      <c r="F1020" s="519">
        <f t="shared" si="89"/>
        <v>0</v>
      </c>
      <c r="G1020" s="477">
        <f t="shared" si="90"/>
        <v>0</v>
      </c>
      <c r="H1020" s="513">
        <f>+J966*G1020+E1020</f>
        <v>0</v>
      </c>
      <c r="I1020" s="520">
        <f>+J967*G1020+E1020</f>
        <v>0</v>
      </c>
      <c r="J1020" s="516">
        <f t="shared" si="91"/>
        <v>0</v>
      </c>
      <c r="K1020" s="516"/>
      <c r="L1020" s="521"/>
      <c r="M1020" s="516">
        <f t="shared" si="92"/>
        <v>0</v>
      </c>
      <c r="N1020" s="521"/>
      <c r="O1020" s="516">
        <f t="shared" si="93"/>
        <v>0</v>
      </c>
      <c r="P1020" s="516">
        <f t="shared" si="94"/>
        <v>0</v>
      </c>
      <c r="Q1020" s="479"/>
    </row>
    <row r="1021" spans="3:17">
      <c r="C1021" s="512">
        <f>IF(D965="","-",+C1020+1)</f>
        <v>2072</v>
      </c>
      <c r="D1021" s="477">
        <f t="shared" si="95"/>
        <v>0</v>
      </c>
      <c r="E1021" s="519">
        <f t="shared" si="96"/>
        <v>0</v>
      </c>
      <c r="F1021" s="519">
        <f t="shared" si="89"/>
        <v>0</v>
      </c>
      <c r="G1021" s="477">
        <f t="shared" si="90"/>
        <v>0</v>
      </c>
      <c r="H1021" s="513">
        <f>+J966*G1021+E1021</f>
        <v>0</v>
      </c>
      <c r="I1021" s="520">
        <f>+J967*G1021+E1021</f>
        <v>0</v>
      </c>
      <c r="J1021" s="516">
        <f t="shared" si="91"/>
        <v>0</v>
      </c>
      <c r="K1021" s="516"/>
      <c r="L1021" s="521"/>
      <c r="M1021" s="516">
        <f t="shared" si="92"/>
        <v>0</v>
      </c>
      <c r="N1021" s="521"/>
      <c r="O1021" s="516">
        <f t="shared" si="93"/>
        <v>0</v>
      </c>
      <c r="P1021" s="516">
        <f t="shared" si="94"/>
        <v>0</v>
      </c>
      <c r="Q1021" s="479"/>
    </row>
    <row r="1022" spans="3:17">
      <c r="C1022" s="512">
        <f>IF(D965="","-",+C1021+1)</f>
        <v>2073</v>
      </c>
      <c r="D1022" s="477">
        <f t="shared" si="95"/>
        <v>0</v>
      </c>
      <c r="E1022" s="519">
        <f t="shared" si="96"/>
        <v>0</v>
      </c>
      <c r="F1022" s="519">
        <f t="shared" si="89"/>
        <v>0</v>
      </c>
      <c r="G1022" s="477">
        <f t="shared" si="90"/>
        <v>0</v>
      </c>
      <c r="H1022" s="513">
        <f>+J966*G1022+E1022</f>
        <v>0</v>
      </c>
      <c r="I1022" s="520">
        <f>+J967*G1022+E1022</f>
        <v>0</v>
      </c>
      <c r="J1022" s="516">
        <f t="shared" si="91"/>
        <v>0</v>
      </c>
      <c r="K1022" s="516"/>
      <c r="L1022" s="521"/>
      <c r="M1022" s="516">
        <f t="shared" si="92"/>
        <v>0</v>
      </c>
      <c r="N1022" s="521"/>
      <c r="O1022" s="516">
        <f t="shared" si="93"/>
        <v>0</v>
      </c>
      <c r="P1022" s="516">
        <f t="shared" si="94"/>
        <v>0</v>
      </c>
      <c r="Q1022" s="479"/>
    </row>
    <row r="1023" spans="3:17">
      <c r="C1023" s="512">
        <f>IF(D965="","-",+C1022+1)</f>
        <v>2074</v>
      </c>
      <c r="D1023" s="477">
        <f t="shared" si="95"/>
        <v>0</v>
      </c>
      <c r="E1023" s="519">
        <f t="shared" si="96"/>
        <v>0</v>
      </c>
      <c r="F1023" s="519">
        <f t="shared" si="89"/>
        <v>0</v>
      </c>
      <c r="G1023" s="477">
        <f t="shared" si="90"/>
        <v>0</v>
      </c>
      <c r="H1023" s="513">
        <f>+J966*G1023+E1023</f>
        <v>0</v>
      </c>
      <c r="I1023" s="520">
        <f>+J967*G1023+E1023</f>
        <v>0</v>
      </c>
      <c r="J1023" s="516">
        <f t="shared" si="91"/>
        <v>0</v>
      </c>
      <c r="K1023" s="516"/>
      <c r="L1023" s="521"/>
      <c r="M1023" s="516">
        <f t="shared" si="92"/>
        <v>0</v>
      </c>
      <c r="N1023" s="521"/>
      <c r="O1023" s="516">
        <f t="shared" si="93"/>
        <v>0</v>
      </c>
      <c r="P1023" s="516">
        <f t="shared" si="94"/>
        <v>0</v>
      </c>
      <c r="Q1023" s="479"/>
    </row>
    <row r="1024" spans="3:17">
      <c r="C1024" s="512">
        <f>IF(D965="","-",+C1023+1)</f>
        <v>2075</v>
      </c>
      <c r="D1024" s="477">
        <f t="shared" si="95"/>
        <v>0</v>
      </c>
      <c r="E1024" s="519">
        <f t="shared" si="96"/>
        <v>0</v>
      </c>
      <c r="F1024" s="519">
        <f t="shared" si="89"/>
        <v>0</v>
      </c>
      <c r="G1024" s="477">
        <f t="shared" si="90"/>
        <v>0</v>
      </c>
      <c r="H1024" s="513">
        <f>+J966*G1024+E1024</f>
        <v>0</v>
      </c>
      <c r="I1024" s="520">
        <f>+J967*G1024+E1024</f>
        <v>0</v>
      </c>
      <c r="J1024" s="516">
        <f t="shared" si="91"/>
        <v>0</v>
      </c>
      <c r="K1024" s="516"/>
      <c r="L1024" s="521"/>
      <c r="M1024" s="516">
        <f t="shared" si="92"/>
        <v>0</v>
      </c>
      <c r="N1024" s="521"/>
      <c r="O1024" s="516">
        <f t="shared" si="93"/>
        <v>0</v>
      </c>
      <c r="P1024" s="516">
        <f t="shared" si="94"/>
        <v>0</v>
      </c>
      <c r="Q1024" s="479"/>
    </row>
    <row r="1025" spans="1:17">
      <c r="C1025" s="512">
        <f>IF(D965="","-",+C1024+1)</f>
        <v>2076</v>
      </c>
      <c r="D1025" s="477">
        <f t="shared" si="95"/>
        <v>0</v>
      </c>
      <c r="E1025" s="519">
        <f t="shared" si="96"/>
        <v>0</v>
      </c>
      <c r="F1025" s="519">
        <f t="shared" si="89"/>
        <v>0</v>
      </c>
      <c r="G1025" s="477">
        <f t="shared" si="90"/>
        <v>0</v>
      </c>
      <c r="H1025" s="513">
        <f>+J966*G1025+E1025</f>
        <v>0</v>
      </c>
      <c r="I1025" s="520">
        <f>+J967*G1025+E1025</f>
        <v>0</v>
      </c>
      <c r="J1025" s="516">
        <f t="shared" si="91"/>
        <v>0</v>
      </c>
      <c r="K1025" s="516"/>
      <c r="L1025" s="521"/>
      <c r="M1025" s="516">
        <f t="shared" si="92"/>
        <v>0</v>
      </c>
      <c r="N1025" s="521"/>
      <c r="O1025" s="516">
        <f t="shared" si="93"/>
        <v>0</v>
      </c>
      <c r="P1025" s="516">
        <f t="shared" si="94"/>
        <v>0</v>
      </c>
      <c r="Q1025" s="479"/>
    </row>
    <row r="1026" spans="1:17">
      <c r="C1026" s="512">
        <f>IF(D965="","-",+C1025+1)</f>
        <v>2077</v>
      </c>
      <c r="D1026" s="477">
        <f t="shared" si="95"/>
        <v>0</v>
      </c>
      <c r="E1026" s="519">
        <f t="shared" si="96"/>
        <v>0</v>
      </c>
      <c r="F1026" s="519">
        <f t="shared" si="89"/>
        <v>0</v>
      </c>
      <c r="G1026" s="477">
        <f t="shared" si="90"/>
        <v>0</v>
      </c>
      <c r="H1026" s="513">
        <f>+J966*G1026+E1026</f>
        <v>0</v>
      </c>
      <c r="I1026" s="520">
        <f>+J967*G1026+E1026</f>
        <v>0</v>
      </c>
      <c r="J1026" s="516">
        <f t="shared" si="91"/>
        <v>0</v>
      </c>
      <c r="K1026" s="516"/>
      <c r="L1026" s="521"/>
      <c r="M1026" s="516">
        <f t="shared" si="92"/>
        <v>0</v>
      </c>
      <c r="N1026" s="521"/>
      <c r="O1026" s="516">
        <f t="shared" si="93"/>
        <v>0</v>
      </c>
      <c r="P1026" s="516">
        <f t="shared" si="94"/>
        <v>0</v>
      </c>
      <c r="Q1026" s="479"/>
    </row>
    <row r="1027" spans="1:17">
      <c r="C1027" s="512">
        <f>IF(D965="","-",+C1026+1)</f>
        <v>2078</v>
      </c>
      <c r="D1027" s="477">
        <f t="shared" si="95"/>
        <v>0</v>
      </c>
      <c r="E1027" s="519">
        <f t="shared" si="96"/>
        <v>0</v>
      </c>
      <c r="F1027" s="519">
        <f t="shared" si="89"/>
        <v>0</v>
      </c>
      <c r="G1027" s="477">
        <f t="shared" si="90"/>
        <v>0</v>
      </c>
      <c r="H1027" s="513">
        <f>+J966*G1027+E1027</f>
        <v>0</v>
      </c>
      <c r="I1027" s="520">
        <f>+J967*G1027+E1027</f>
        <v>0</v>
      </c>
      <c r="J1027" s="516">
        <f t="shared" si="91"/>
        <v>0</v>
      </c>
      <c r="K1027" s="516"/>
      <c r="L1027" s="521"/>
      <c r="M1027" s="516">
        <f t="shared" si="92"/>
        <v>0</v>
      </c>
      <c r="N1027" s="521"/>
      <c r="O1027" s="516">
        <f t="shared" si="93"/>
        <v>0</v>
      </c>
      <c r="P1027" s="516">
        <f t="shared" si="94"/>
        <v>0</v>
      </c>
      <c r="Q1027" s="479"/>
    </row>
    <row r="1028" spans="1:17">
      <c r="C1028" s="512">
        <f>IF(D965="","-",+C1027+1)</f>
        <v>2079</v>
      </c>
      <c r="D1028" s="477">
        <f t="shared" si="95"/>
        <v>0</v>
      </c>
      <c r="E1028" s="519">
        <f t="shared" si="96"/>
        <v>0</v>
      </c>
      <c r="F1028" s="519">
        <f t="shared" si="89"/>
        <v>0</v>
      </c>
      <c r="G1028" s="477">
        <f t="shared" si="90"/>
        <v>0</v>
      </c>
      <c r="H1028" s="513">
        <f>+J966*G1028+E1028</f>
        <v>0</v>
      </c>
      <c r="I1028" s="520">
        <f>+J967*G1028+E1028</f>
        <v>0</v>
      </c>
      <c r="J1028" s="516">
        <f t="shared" si="91"/>
        <v>0</v>
      </c>
      <c r="K1028" s="516"/>
      <c r="L1028" s="521"/>
      <c r="M1028" s="516">
        <f t="shared" si="92"/>
        <v>0</v>
      </c>
      <c r="N1028" s="521"/>
      <c r="O1028" s="516">
        <f t="shared" si="93"/>
        <v>0</v>
      </c>
      <c r="P1028" s="516">
        <f t="shared" si="94"/>
        <v>0</v>
      </c>
      <c r="Q1028" s="479"/>
    </row>
    <row r="1029" spans="1:17">
      <c r="C1029" s="512">
        <f>IF(D965="","-",+C1028+1)</f>
        <v>2080</v>
      </c>
      <c r="D1029" s="477">
        <f t="shared" si="95"/>
        <v>0</v>
      </c>
      <c r="E1029" s="519">
        <f t="shared" si="96"/>
        <v>0</v>
      </c>
      <c r="F1029" s="519">
        <f t="shared" si="89"/>
        <v>0</v>
      </c>
      <c r="G1029" s="477">
        <f t="shared" si="90"/>
        <v>0</v>
      </c>
      <c r="H1029" s="513">
        <f>+J966*G1029+E1029</f>
        <v>0</v>
      </c>
      <c r="I1029" s="520">
        <f>+J967*G1029+E1029</f>
        <v>0</v>
      </c>
      <c r="J1029" s="516">
        <f t="shared" si="91"/>
        <v>0</v>
      </c>
      <c r="K1029" s="516"/>
      <c r="L1029" s="521"/>
      <c r="M1029" s="516">
        <f t="shared" si="92"/>
        <v>0</v>
      </c>
      <c r="N1029" s="521"/>
      <c r="O1029" s="516">
        <f t="shared" si="93"/>
        <v>0</v>
      </c>
      <c r="P1029" s="516">
        <f t="shared" si="94"/>
        <v>0</v>
      </c>
      <c r="Q1029" s="479"/>
    </row>
    <row r="1030" spans="1:17" ht="13.5" thickBot="1">
      <c r="C1030" s="523">
        <f>IF(D965="","-",+C1029+1)</f>
        <v>2081</v>
      </c>
      <c r="D1030" s="524">
        <f t="shared" si="95"/>
        <v>0</v>
      </c>
      <c r="E1030" s="519">
        <f t="shared" si="96"/>
        <v>0</v>
      </c>
      <c r="F1030" s="525">
        <f t="shared" si="89"/>
        <v>0</v>
      </c>
      <c r="G1030" s="524">
        <f t="shared" si="90"/>
        <v>0</v>
      </c>
      <c r="H1030" s="526">
        <f>+J966*G1030+E1030</f>
        <v>0</v>
      </c>
      <c r="I1030" s="526">
        <f>+J967*G1030+E1030</f>
        <v>0</v>
      </c>
      <c r="J1030" s="527">
        <f t="shared" si="91"/>
        <v>0</v>
      </c>
      <c r="K1030" s="516"/>
      <c r="L1030" s="528"/>
      <c r="M1030" s="527">
        <f t="shared" si="92"/>
        <v>0</v>
      </c>
      <c r="N1030" s="528"/>
      <c r="O1030" s="527">
        <f t="shared" si="93"/>
        <v>0</v>
      </c>
      <c r="P1030" s="527">
        <f t="shared" si="94"/>
        <v>0</v>
      </c>
      <c r="Q1030" s="479"/>
    </row>
    <row r="1031" spans="1:17">
      <c r="C1031" s="477" t="s">
        <v>289</v>
      </c>
      <c r="D1031" s="475"/>
      <c r="E1031" s="475">
        <f>SUM(E971:E1030)</f>
        <v>7684389.4200000009</v>
      </c>
      <c r="F1031" s="475"/>
      <c r="G1031" s="475"/>
      <c r="H1031" s="475">
        <f>SUM(H971:H1030)</f>
        <v>24259407.326590769</v>
      </c>
      <c r="I1031" s="475">
        <f>SUM(I971:I1030)</f>
        <v>24259407.326590769</v>
      </c>
      <c r="J1031" s="475">
        <f>SUM(J971:J1030)</f>
        <v>0</v>
      </c>
      <c r="K1031" s="475"/>
      <c r="L1031" s="475"/>
      <c r="M1031" s="475"/>
      <c r="N1031" s="475"/>
      <c r="O1031" s="475"/>
      <c r="Q1031" s="475"/>
    </row>
    <row r="1032" spans="1:17">
      <c r="D1032" s="82"/>
      <c r="E1032" s="4"/>
      <c r="F1032" s="4"/>
      <c r="G1032" s="4"/>
      <c r="H1032" s="4"/>
      <c r="I1032" s="460"/>
      <c r="J1032" s="460"/>
      <c r="K1032" s="475"/>
      <c r="L1032" s="460"/>
      <c r="M1032" s="460"/>
      <c r="N1032" s="460"/>
      <c r="O1032" s="460"/>
      <c r="Q1032" s="475"/>
    </row>
    <row r="1033" spans="1:17">
      <c r="C1033" s="4" t="s">
        <v>596</v>
      </c>
      <c r="D1033" s="82"/>
      <c r="E1033" s="4"/>
      <c r="F1033" s="4"/>
      <c r="G1033" s="4"/>
      <c r="H1033" s="4"/>
      <c r="I1033" s="460"/>
      <c r="J1033" s="460"/>
      <c r="K1033" s="475"/>
      <c r="L1033" s="460"/>
      <c r="M1033" s="460"/>
      <c r="N1033" s="460"/>
      <c r="O1033" s="460"/>
      <c r="Q1033" s="475"/>
    </row>
    <row r="1034" spans="1:17">
      <c r="D1034" s="82"/>
      <c r="E1034" s="4"/>
      <c r="F1034" s="4"/>
      <c r="G1034" s="4"/>
      <c r="H1034" s="4"/>
      <c r="I1034" s="460"/>
      <c r="J1034" s="460"/>
      <c r="K1034" s="475"/>
      <c r="L1034" s="460"/>
      <c r="M1034" s="460"/>
      <c r="N1034" s="460"/>
      <c r="O1034" s="460"/>
      <c r="Q1034" s="475"/>
    </row>
    <row r="1035" spans="1:17">
      <c r="C1035" s="4" t="s">
        <v>597</v>
      </c>
      <c r="D1035" s="477"/>
      <c r="E1035" s="477"/>
      <c r="F1035" s="477"/>
      <c r="G1035" s="477"/>
      <c r="H1035" s="475"/>
      <c r="I1035" s="475"/>
      <c r="J1035" s="479"/>
      <c r="K1035" s="479"/>
      <c r="L1035" s="479"/>
      <c r="M1035" s="479"/>
      <c r="N1035" s="479"/>
      <c r="O1035" s="479"/>
      <c r="Q1035" s="479"/>
    </row>
    <row r="1036" spans="1:17">
      <c r="C1036" s="4" t="s">
        <v>477</v>
      </c>
      <c r="D1036" s="477"/>
      <c r="E1036" s="477"/>
      <c r="F1036" s="477"/>
      <c r="G1036" s="477"/>
      <c r="H1036" s="475"/>
      <c r="I1036" s="475"/>
      <c r="J1036" s="479"/>
      <c r="K1036" s="479"/>
      <c r="L1036" s="479"/>
      <c r="M1036" s="479"/>
      <c r="N1036" s="479"/>
      <c r="O1036" s="479"/>
      <c r="Q1036" s="479"/>
    </row>
    <row r="1037" spans="1:17">
      <c r="C1037" s="4" t="s">
        <v>290</v>
      </c>
      <c r="D1037" s="477"/>
      <c r="E1037" s="477"/>
      <c r="F1037" s="477"/>
      <c r="G1037" s="477"/>
      <c r="H1037" s="475"/>
      <c r="I1037" s="475"/>
      <c r="J1037" s="479"/>
      <c r="K1037" s="479"/>
      <c r="L1037" s="479"/>
      <c r="M1037" s="479"/>
      <c r="N1037" s="479"/>
      <c r="O1037" s="479"/>
      <c r="Q1037" s="479"/>
    </row>
    <row r="1038" spans="1:17" ht="20.25">
      <c r="A1038" s="419" t="s">
        <v>763</v>
      </c>
      <c r="B1038" s="4"/>
      <c r="C1038" s="4"/>
      <c r="D1038" s="82"/>
      <c r="E1038" s="4"/>
      <c r="F1038" s="84"/>
      <c r="G1038" s="84"/>
      <c r="H1038" s="4"/>
      <c r="I1038" s="460"/>
      <c r="L1038" s="11"/>
      <c r="M1038" s="11"/>
      <c r="N1038" s="11"/>
      <c r="O1038" s="11" t="str">
        <f>"Page "&amp;SUM(Q$3:Q1038)&amp;" of "</f>
        <v xml:space="preserve">Page 15 of </v>
      </c>
      <c r="P1038" s="420">
        <f>COUNT(Q$8:Q$58123)</f>
        <v>15</v>
      </c>
      <c r="Q1038" s="547">
        <v>1</v>
      </c>
    </row>
    <row r="1039" spans="1:17">
      <c r="B1039" s="4"/>
      <c r="C1039" s="4"/>
      <c r="D1039" s="82"/>
      <c r="E1039" s="4"/>
      <c r="F1039" s="4"/>
      <c r="G1039" s="4"/>
      <c r="H1039" s="4"/>
      <c r="I1039" s="460"/>
      <c r="J1039" s="4"/>
      <c r="K1039" s="4"/>
    </row>
    <row r="1040" spans="1:17" ht="18">
      <c r="B1040" s="421" t="s">
        <v>175</v>
      </c>
      <c r="C1040" s="480" t="s">
        <v>291</v>
      </c>
      <c r="D1040" s="82"/>
      <c r="E1040" s="4"/>
      <c r="F1040" s="4"/>
      <c r="G1040" s="4"/>
      <c r="H1040" s="4"/>
      <c r="I1040" s="460"/>
      <c r="J1040" s="460"/>
      <c r="K1040" s="475"/>
      <c r="L1040" s="460"/>
      <c r="M1040" s="460"/>
      <c r="N1040" s="460"/>
      <c r="O1040" s="460"/>
      <c r="Q1040" s="475"/>
    </row>
    <row r="1041" spans="1:17" ht="18.75">
      <c r="B1041" s="421"/>
      <c r="C1041" s="13"/>
      <c r="D1041" s="82"/>
      <c r="E1041" s="4"/>
      <c r="F1041" s="4"/>
      <c r="G1041" s="4"/>
      <c r="H1041" s="4"/>
      <c r="I1041" s="460"/>
      <c r="J1041" s="460"/>
      <c r="K1041" s="475"/>
      <c r="L1041" s="460"/>
      <c r="M1041" s="460"/>
      <c r="N1041" s="460"/>
      <c r="O1041" s="460"/>
      <c r="Q1041" s="475"/>
    </row>
    <row r="1042" spans="1:17" ht="18.75">
      <c r="B1042" s="421"/>
      <c r="C1042" s="13" t="s">
        <v>292</v>
      </c>
      <c r="D1042" s="82"/>
      <c r="E1042" s="4"/>
      <c r="F1042" s="4"/>
      <c r="G1042" s="4"/>
      <c r="H1042" s="4"/>
      <c r="I1042" s="460"/>
      <c r="J1042" s="460"/>
      <c r="K1042" s="475"/>
      <c r="L1042" s="460"/>
      <c r="M1042" s="460"/>
      <c r="N1042" s="460"/>
      <c r="O1042" s="460"/>
      <c r="Q1042" s="475"/>
    </row>
    <row r="1043" spans="1:17" ht="15.75" thickBot="1">
      <c r="C1043" s="254"/>
      <c r="D1043" s="82"/>
      <c r="E1043" s="4"/>
      <c r="F1043" s="4"/>
      <c r="G1043" s="4"/>
      <c r="H1043" s="4"/>
      <c r="I1043" s="460"/>
      <c r="J1043" s="460"/>
      <c r="K1043" s="475"/>
      <c r="L1043" s="460"/>
      <c r="M1043" s="460"/>
      <c r="N1043" s="460"/>
      <c r="O1043" s="460"/>
      <c r="Q1043" s="475"/>
    </row>
    <row r="1044" spans="1:17" ht="15.75">
      <c r="C1044" s="422" t="s">
        <v>293</v>
      </c>
      <c r="D1044" s="82"/>
      <c r="E1044" s="4"/>
      <c r="F1044" s="4"/>
      <c r="G1044" s="4"/>
      <c r="H1044" s="645"/>
      <c r="I1044" s="4" t="s">
        <v>272</v>
      </c>
      <c r="J1044" s="4"/>
      <c r="K1044" s="4"/>
      <c r="L1044" s="548">
        <f>+J1050</f>
        <v>2025</v>
      </c>
      <c r="M1044" s="532" t="s">
        <v>255</v>
      </c>
      <c r="N1044" s="532" t="s">
        <v>256</v>
      </c>
      <c r="O1044" s="533" t="s">
        <v>257</v>
      </c>
    </row>
    <row r="1045" spans="1:17" ht="15.75">
      <c r="C1045" s="422"/>
      <c r="D1045" s="82"/>
      <c r="E1045" s="4"/>
      <c r="F1045" s="4"/>
      <c r="H1045" s="4"/>
      <c r="I1045" s="484"/>
      <c r="J1045" s="484"/>
      <c r="K1045" s="485"/>
      <c r="L1045" s="549" t="s">
        <v>456</v>
      </c>
      <c r="M1045" s="550">
        <f>VLOOKUP(J1050,C1057:P1116,10)</f>
        <v>357987.96710261027</v>
      </c>
      <c r="N1045" s="550">
        <f>VLOOKUP(J1050,C1057:P1116,12)</f>
        <v>357987.96710261027</v>
      </c>
      <c r="O1045" s="551">
        <f>+N1045-M1045</f>
        <v>0</v>
      </c>
      <c r="Q1045" s="485"/>
    </row>
    <row r="1046" spans="1:17">
      <c r="C1046" s="487" t="s">
        <v>294</v>
      </c>
      <c r="D1046" s="1274" t="s">
        <v>1185</v>
      </c>
      <c r="E1046" s="1275"/>
      <c r="F1046" s="1275"/>
      <c r="G1046" s="1275"/>
      <c r="H1046" s="1275"/>
      <c r="I1046" s="1275"/>
      <c r="J1046" s="460"/>
      <c r="K1046" s="475"/>
      <c r="L1046" s="549" t="s">
        <v>457</v>
      </c>
      <c r="M1046" s="552">
        <f>VLOOKUP(J1050,C1057:P1116,6)</f>
        <v>341352.06461353344</v>
      </c>
      <c r="N1046" s="552">
        <f>VLOOKUP(J1050,C1057:P1116,7)</f>
        <v>341352.06461353344</v>
      </c>
      <c r="O1046" s="553">
        <f>+N1046-M1046</f>
        <v>0</v>
      </c>
      <c r="Q1046" s="475"/>
    </row>
    <row r="1047" spans="1:17" ht="13.5" thickBot="1">
      <c r="C1047" s="489"/>
      <c r="D1047" s="1275"/>
      <c r="E1047" s="1275"/>
      <c r="F1047" s="1275"/>
      <c r="G1047" s="1275"/>
      <c r="H1047" s="1275"/>
      <c r="I1047" s="1275"/>
      <c r="J1047" s="460"/>
      <c r="K1047" s="475"/>
      <c r="L1047" s="499" t="s">
        <v>458</v>
      </c>
      <c r="M1047" s="554">
        <f>+M1046-M1045</f>
        <v>-16635.902489076834</v>
      </c>
      <c r="N1047" s="554">
        <f>+N1046-N1045</f>
        <v>-16635.902489076834</v>
      </c>
      <c r="O1047" s="555">
        <f>+O1046-O1045</f>
        <v>0</v>
      </c>
      <c r="Q1047" s="475"/>
    </row>
    <row r="1048" spans="1:17" ht="13.5" thickBot="1">
      <c r="C1048" s="489"/>
      <c r="D1048" s="4"/>
      <c r="E1048" s="490"/>
      <c r="F1048" s="490"/>
      <c r="G1048" s="490"/>
      <c r="H1048" s="490"/>
      <c r="I1048" s="490"/>
      <c r="J1048" s="490"/>
      <c r="K1048" s="490"/>
      <c r="L1048" s="490"/>
      <c r="M1048" s="490"/>
      <c r="N1048" s="490"/>
      <c r="O1048" s="490"/>
      <c r="Q1048" s="490"/>
    </row>
    <row r="1049" spans="1:17" ht="13.5" thickBot="1">
      <c r="C1049" s="491" t="s">
        <v>295</v>
      </c>
      <c r="D1049" s="492"/>
      <c r="E1049" s="492"/>
      <c r="F1049" s="492"/>
      <c r="G1049" s="492"/>
      <c r="H1049" s="492"/>
      <c r="I1049" s="492"/>
      <c r="J1049" s="492"/>
      <c r="Q1049"/>
    </row>
    <row r="1050" spans="1:17" ht="15">
      <c r="A1050" s="978"/>
      <c r="C1050" s="494" t="s">
        <v>273</v>
      </c>
      <c r="D1050" s="979">
        <v>2542896.33</v>
      </c>
      <c r="E1050" s="4" t="s">
        <v>274</v>
      </c>
      <c r="H1050" s="82"/>
      <c r="I1050" s="82"/>
      <c r="J1050" s="495">
        <f>$J$95</f>
        <v>2025</v>
      </c>
      <c r="K1050" s="138"/>
      <c r="L1050" s="1284" t="s">
        <v>275</v>
      </c>
      <c r="M1050" s="1284"/>
      <c r="N1050" s="1284"/>
      <c r="O1050" s="1284"/>
      <c r="Q1050" s="138"/>
    </row>
    <row r="1051" spans="1:17">
      <c r="A1051" s="978"/>
      <c r="C1051" s="494" t="s">
        <v>276</v>
      </c>
      <c r="D1051" s="647">
        <v>2024</v>
      </c>
      <c r="E1051" s="494" t="s">
        <v>277</v>
      </c>
      <c r="F1051" s="82"/>
      <c r="G1051" s="82"/>
      <c r="I1051"/>
      <c r="J1051" s="650">
        <v>0</v>
      </c>
      <c r="K1051" s="496"/>
      <c r="L1051" s="475" t="s">
        <v>476</v>
      </c>
      <c r="Q1051" s="496"/>
    </row>
    <row r="1052" spans="1:17">
      <c r="A1052" s="978"/>
      <c r="C1052" s="494" t="s">
        <v>278</v>
      </c>
      <c r="D1052" s="946">
        <v>5</v>
      </c>
      <c r="E1052" s="494" t="s">
        <v>279</v>
      </c>
      <c r="F1052" s="82"/>
      <c r="G1052" s="82"/>
      <c r="I1052"/>
      <c r="J1052" s="497">
        <f>$F$70</f>
        <v>0.11108872081308177</v>
      </c>
      <c r="K1052" s="84"/>
      <c r="L1052" s="4" t="str">
        <f>"          INPUT TRUE-UP ARR (WITH &amp; WITHOUT INCENTIVES) FROM EACH PRIOR YEAR"</f>
        <v xml:space="preserve">          INPUT TRUE-UP ARR (WITH &amp; WITHOUT INCENTIVES) FROM EACH PRIOR YEAR</v>
      </c>
      <c r="Q1052" s="84"/>
    </row>
    <row r="1053" spans="1:17">
      <c r="A1053" s="978"/>
      <c r="C1053" s="494" t="s">
        <v>280</v>
      </c>
      <c r="D1053" s="498">
        <f>H79</f>
        <v>38</v>
      </c>
      <c r="E1053" s="494" t="s">
        <v>281</v>
      </c>
      <c r="F1053" s="82"/>
      <c r="G1053" s="82"/>
      <c r="I1053"/>
      <c r="J1053" s="497">
        <f>IF(H1044="",J1052,$F$69)</f>
        <v>0.11108872081308177</v>
      </c>
      <c r="K1053" s="84"/>
      <c r="L1053" s="4" t="s">
        <v>363</v>
      </c>
      <c r="M1053" s="84"/>
      <c r="N1053" s="84"/>
      <c r="O1053" s="84"/>
      <c r="Q1053" s="84"/>
    </row>
    <row r="1054" spans="1:17" ht="13.5" thickBot="1">
      <c r="A1054" s="978"/>
      <c r="C1054" s="494" t="s">
        <v>282</v>
      </c>
      <c r="D1054" s="649" t="s">
        <v>930</v>
      </c>
      <c r="E1054" s="499" t="s">
        <v>283</v>
      </c>
      <c r="F1054" s="500"/>
      <c r="G1054" s="500"/>
      <c r="H1054" s="501"/>
      <c r="I1054" s="501"/>
      <c r="J1054" s="488">
        <f>IF(D1050=0,0,D1050/D1053)</f>
        <v>66918.324473684217</v>
      </c>
      <c r="K1054" s="475"/>
      <c r="L1054" s="475" t="s">
        <v>364</v>
      </c>
      <c r="M1054" s="475"/>
      <c r="N1054" s="475"/>
      <c r="O1054" s="475"/>
      <c r="Q1054" s="475"/>
    </row>
    <row r="1055" spans="1:17" ht="38.25">
      <c r="A1055" s="12"/>
      <c r="B1055" s="12"/>
      <c r="C1055" s="502" t="s">
        <v>273</v>
      </c>
      <c r="D1055" s="503" t="s">
        <v>284</v>
      </c>
      <c r="E1055" s="504" t="s">
        <v>285</v>
      </c>
      <c r="F1055" s="503" t="s">
        <v>286</v>
      </c>
      <c r="G1055" s="503" t="s">
        <v>459</v>
      </c>
      <c r="H1055" s="504" t="s">
        <v>357</v>
      </c>
      <c r="I1055" s="505" t="s">
        <v>357</v>
      </c>
      <c r="J1055" s="502" t="s">
        <v>296</v>
      </c>
      <c r="K1055" s="506"/>
      <c r="L1055" s="504" t="s">
        <v>359</v>
      </c>
      <c r="M1055" s="504" t="s">
        <v>365</v>
      </c>
      <c r="N1055" s="504" t="s">
        <v>359</v>
      </c>
      <c r="O1055" s="504" t="s">
        <v>367</v>
      </c>
      <c r="P1055" s="504" t="s">
        <v>287</v>
      </c>
      <c r="Q1055" s="131"/>
    </row>
    <row r="1056" spans="1:17" ht="13.5" thickBot="1">
      <c r="C1056" s="507" t="s">
        <v>178</v>
      </c>
      <c r="D1056" s="508" t="s">
        <v>179</v>
      </c>
      <c r="E1056" s="507" t="s">
        <v>38</v>
      </c>
      <c r="F1056" s="508" t="s">
        <v>179</v>
      </c>
      <c r="G1056" s="508" t="s">
        <v>179</v>
      </c>
      <c r="H1056" s="509" t="s">
        <v>299</v>
      </c>
      <c r="I1056" s="510" t="s">
        <v>301</v>
      </c>
      <c r="J1056" s="507" t="s">
        <v>390</v>
      </c>
      <c r="K1056" s="511"/>
      <c r="L1056" s="509" t="s">
        <v>288</v>
      </c>
      <c r="M1056" s="509" t="s">
        <v>288</v>
      </c>
      <c r="N1056" s="509" t="s">
        <v>468</v>
      </c>
      <c r="O1056" s="509" t="s">
        <v>468</v>
      </c>
      <c r="P1056" s="509" t="s">
        <v>468</v>
      </c>
      <c r="Q1056" s="138"/>
    </row>
    <row r="1057" spans="3:17">
      <c r="C1057" s="512">
        <f>IF(D1051= "","-",D1051)</f>
        <v>2024</v>
      </c>
      <c r="D1057" s="477">
        <f>+D1050</f>
        <v>2542896.33</v>
      </c>
      <c r="E1057" s="513">
        <f>+J1054/12*(12-D1052)</f>
        <v>39035.689276315788</v>
      </c>
      <c r="F1057" s="556">
        <f t="shared" ref="F1057:F1116" si="97">+D1057-E1057</f>
        <v>2503860.6407236843</v>
      </c>
      <c r="G1057" s="477">
        <f t="shared" ref="G1057:G1116" si="98">+(D1057+F1057)/2</f>
        <v>2523378.4853618424</v>
      </c>
      <c r="H1057" s="514">
        <f>+J1052*G1057+E1057</f>
        <v>319354.57734241465</v>
      </c>
      <c r="I1057" s="515">
        <f>+J1053*G1057+E1057</f>
        <v>319354.57734241465</v>
      </c>
      <c r="J1057" s="516">
        <f t="shared" ref="J1057:J1116" si="99">+I1057-H1057</f>
        <v>0</v>
      </c>
      <c r="K1057" s="516"/>
      <c r="L1057" s="517">
        <v>342415.66537089163</v>
      </c>
      <c r="M1057" s="557">
        <f t="shared" ref="M1057:M1116" si="100">IF(L1057&lt;&gt;0,+H1057-L1057,0)</f>
        <v>-23061.088028476981</v>
      </c>
      <c r="N1057" s="517">
        <v>342415.66537089163</v>
      </c>
      <c r="O1057" s="557">
        <f t="shared" ref="O1057:O1116" si="101">IF(N1057&lt;&gt;0,+I1057-N1057,0)</f>
        <v>-23061.088028476981</v>
      </c>
      <c r="P1057" s="557">
        <f t="shared" ref="P1057:P1116" si="102">+O1057-M1057</f>
        <v>0</v>
      </c>
      <c r="Q1057" s="479"/>
    </row>
    <row r="1058" spans="3:17">
      <c r="C1058" s="512">
        <f>IF(D1051="","-",+C1057+1)</f>
        <v>2025</v>
      </c>
      <c r="D1058" s="960">
        <f t="shared" ref="D1058:D1116" si="103">F1057</f>
        <v>2503860.6407236843</v>
      </c>
      <c r="E1058" s="519">
        <f>IF(D1058&gt;$J$1054,$J$1054,D1058)</f>
        <v>66918.324473684217</v>
      </c>
      <c r="F1058" s="519">
        <f t="shared" si="97"/>
        <v>2436942.3162500001</v>
      </c>
      <c r="G1058" s="477">
        <f t="shared" si="98"/>
        <v>2470401.4784868425</v>
      </c>
      <c r="H1058" s="513">
        <f>+J1052*G1058+E1058</f>
        <v>341352.06461353344</v>
      </c>
      <c r="I1058" s="520">
        <f>+J1053*G1058+E1058</f>
        <v>341352.06461353344</v>
      </c>
      <c r="J1058" s="516">
        <f t="shared" si="99"/>
        <v>0</v>
      </c>
      <c r="K1058" s="516"/>
      <c r="L1058" s="521">
        <v>357987.96710261027</v>
      </c>
      <c r="M1058" s="516">
        <f t="shared" si="100"/>
        <v>-16635.902489076834</v>
      </c>
      <c r="N1058" s="521">
        <v>357987.96710261027</v>
      </c>
      <c r="O1058" s="516">
        <f t="shared" si="101"/>
        <v>-16635.902489076834</v>
      </c>
      <c r="P1058" s="516">
        <f t="shared" si="102"/>
        <v>0</v>
      </c>
      <c r="Q1058" s="479"/>
    </row>
    <row r="1059" spans="3:17">
      <c r="C1059" s="512">
        <f>IF(D1051="","-",+C1058+1)</f>
        <v>2026</v>
      </c>
      <c r="D1059" s="960">
        <f t="shared" si="103"/>
        <v>2436942.3162500001</v>
      </c>
      <c r="E1059" s="519">
        <f t="shared" ref="E1059:E1116" si="104">IF(D1059&gt;$J$1054,$J$1054,D1059)</f>
        <v>66918.324473684217</v>
      </c>
      <c r="F1059" s="519">
        <f t="shared" si="97"/>
        <v>2370023.991776316</v>
      </c>
      <c r="G1059" s="477">
        <f t="shared" si="98"/>
        <v>2403483.1540131578</v>
      </c>
      <c r="H1059" s="513">
        <f>+J1052*G1059+E1059</f>
        <v>333918.19354879716</v>
      </c>
      <c r="I1059" s="520">
        <f>+J1053*G1059+E1059</f>
        <v>333918.19354879716</v>
      </c>
      <c r="J1059" s="516">
        <f t="shared" si="99"/>
        <v>0</v>
      </c>
      <c r="K1059" s="516"/>
      <c r="L1059" s="521"/>
      <c r="M1059" s="516">
        <f t="shared" si="100"/>
        <v>0</v>
      </c>
      <c r="N1059" s="521"/>
      <c r="O1059" s="516">
        <f t="shared" si="101"/>
        <v>0</v>
      </c>
      <c r="P1059" s="516">
        <f t="shared" si="102"/>
        <v>0</v>
      </c>
      <c r="Q1059" s="479"/>
    </row>
    <row r="1060" spans="3:17">
      <c r="C1060" s="512">
        <f>IF(D1051="","-",+C1059+1)</f>
        <v>2027</v>
      </c>
      <c r="D1060" s="477">
        <f t="shared" si="103"/>
        <v>2370023.991776316</v>
      </c>
      <c r="E1060" s="519">
        <f t="shared" si="104"/>
        <v>66918.324473684217</v>
      </c>
      <c r="F1060" s="519">
        <f t="shared" si="97"/>
        <v>2303105.6673026318</v>
      </c>
      <c r="G1060" s="477">
        <f t="shared" si="98"/>
        <v>2336564.8295394741</v>
      </c>
      <c r="H1060" s="513">
        <f>+J1052*G1060+E1060</f>
        <v>326484.32248406089</v>
      </c>
      <c r="I1060" s="520">
        <f>+J1053*G1060+E1060</f>
        <v>326484.32248406089</v>
      </c>
      <c r="J1060" s="516">
        <f t="shared" si="99"/>
        <v>0</v>
      </c>
      <c r="K1060" s="516"/>
      <c r="L1060" s="521"/>
      <c r="M1060" s="516">
        <f t="shared" si="100"/>
        <v>0</v>
      </c>
      <c r="N1060" s="521"/>
      <c r="O1060" s="516">
        <f t="shared" si="101"/>
        <v>0</v>
      </c>
      <c r="P1060" s="516">
        <f t="shared" si="102"/>
        <v>0</v>
      </c>
      <c r="Q1060" s="479"/>
    </row>
    <row r="1061" spans="3:17">
      <c r="C1061" s="512">
        <f>IF(D1051="","-",+C1060+1)</f>
        <v>2028</v>
      </c>
      <c r="D1061" s="477">
        <f t="shared" si="103"/>
        <v>2303105.6673026318</v>
      </c>
      <c r="E1061" s="519">
        <f t="shared" si="104"/>
        <v>66918.324473684217</v>
      </c>
      <c r="F1061" s="519">
        <f t="shared" si="97"/>
        <v>2236187.3428289476</v>
      </c>
      <c r="G1061" s="477">
        <f t="shared" si="98"/>
        <v>2269646.5050657894</v>
      </c>
      <c r="H1061" s="513">
        <f>+J1052*G1061+E1061</f>
        <v>319050.4514193245</v>
      </c>
      <c r="I1061" s="520">
        <f>+J1053*G1061+E1061</f>
        <v>319050.4514193245</v>
      </c>
      <c r="J1061" s="516">
        <f t="shared" si="99"/>
        <v>0</v>
      </c>
      <c r="K1061" s="516"/>
      <c r="L1061" s="521"/>
      <c r="M1061" s="516">
        <f t="shared" si="100"/>
        <v>0</v>
      </c>
      <c r="N1061" s="521"/>
      <c r="O1061" s="516">
        <f t="shared" si="101"/>
        <v>0</v>
      </c>
      <c r="P1061" s="516">
        <f t="shared" si="102"/>
        <v>0</v>
      </c>
      <c r="Q1061" s="479"/>
    </row>
    <row r="1062" spans="3:17">
      <c r="C1062" s="512">
        <f>IF(D1051="","-",+C1061+1)</f>
        <v>2029</v>
      </c>
      <c r="D1062" s="477">
        <f t="shared" si="103"/>
        <v>2236187.3428289476</v>
      </c>
      <c r="E1062" s="519">
        <f t="shared" si="104"/>
        <v>66918.324473684217</v>
      </c>
      <c r="F1062" s="519">
        <f t="shared" si="97"/>
        <v>2169269.0183552634</v>
      </c>
      <c r="G1062" s="477">
        <f t="shared" si="98"/>
        <v>2202728.1805921057</v>
      </c>
      <c r="H1062" s="513">
        <f>+J1052*G1062+E1062</f>
        <v>311616.58035458822</v>
      </c>
      <c r="I1062" s="520">
        <f>+J1053*G1062+E1062</f>
        <v>311616.58035458822</v>
      </c>
      <c r="J1062" s="516">
        <f t="shared" si="99"/>
        <v>0</v>
      </c>
      <c r="K1062" s="516"/>
      <c r="L1062" s="521"/>
      <c r="M1062" s="516">
        <f t="shared" si="100"/>
        <v>0</v>
      </c>
      <c r="N1062" s="521"/>
      <c r="O1062" s="516">
        <f t="shared" si="101"/>
        <v>0</v>
      </c>
      <c r="P1062" s="516">
        <f t="shared" si="102"/>
        <v>0</v>
      </c>
      <c r="Q1062" s="479"/>
    </row>
    <row r="1063" spans="3:17">
      <c r="C1063" s="512">
        <f>IF(D1051="","-",+C1062+1)</f>
        <v>2030</v>
      </c>
      <c r="D1063" s="477">
        <f t="shared" si="103"/>
        <v>2169269.0183552634</v>
      </c>
      <c r="E1063" s="519">
        <f t="shared" si="104"/>
        <v>66918.324473684217</v>
      </c>
      <c r="F1063" s="519">
        <f t="shared" si="97"/>
        <v>2102350.6938815792</v>
      </c>
      <c r="G1063" s="477">
        <f t="shared" si="98"/>
        <v>2135809.8561184211</v>
      </c>
      <c r="H1063" s="513">
        <f>+J1052*G1063+E1063</f>
        <v>304182.70928985183</v>
      </c>
      <c r="I1063" s="520">
        <f>+J1053*G1063+E1063</f>
        <v>304182.70928985183</v>
      </c>
      <c r="J1063" s="516">
        <f t="shared" si="99"/>
        <v>0</v>
      </c>
      <c r="K1063" s="516"/>
      <c r="L1063" s="521"/>
      <c r="M1063" s="516">
        <f t="shared" si="100"/>
        <v>0</v>
      </c>
      <c r="N1063" s="521"/>
      <c r="O1063" s="516">
        <f t="shared" si="101"/>
        <v>0</v>
      </c>
      <c r="P1063" s="516">
        <f t="shared" si="102"/>
        <v>0</v>
      </c>
      <c r="Q1063" s="479"/>
    </row>
    <row r="1064" spans="3:17">
      <c r="C1064" s="512">
        <f>IF(D1051="","-",+C1063+1)</f>
        <v>2031</v>
      </c>
      <c r="D1064" s="477">
        <f t="shared" si="103"/>
        <v>2102350.6938815792</v>
      </c>
      <c r="E1064" s="519">
        <f t="shared" si="104"/>
        <v>66918.324473684217</v>
      </c>
      <c r="F1064" s="519">
        <f t="shared" si="97"/>
        <v>2035432.369407895</v>
      </c>
      <c r="G1064" s="477">
        <f t="shared" si="98"/>
        <v>2068891.5316447371</v>
      </c>
      <c r="H1064" s="513">
        <f>+J1052*G1064+E1064</f>
        <v>296748.83822511556</v>
      </c>
      <c r="I1064" s="520">
        <f>+J1053*G1064+E1064</f>
        <v>296748.83822511556</v>
      </c>
      <c r="J1064" s="516">
        <f t="shared" si="99"/>
        <v>0</v>
      </c>
      <c r="K1064" s="516"/>
      <c r="L1064" s="521"/>
      <c r="M1064" s="516">
        <f t="shared" si="100"/>
        <v>0</v>
      </c>
      <c r="N1064" s="521"/>
      <c r="O1064" s="516">
        <f t="shared" si="101"/>
        <v>0</v>
      </c>
      <c r="P1064" s="516">
        <f t="shared" si="102"/>
        <v>0</v>
      </c>
      <c r="Q1064" s="479"/>
    </row>
    <row r="1065" spans="3:17">
      <c r="C1065" s="512">
        <f>IF(D1051="","-",+C1064+1)</f>
        <v>2032</v>
      </c>
      <c r="D1065" s="477">
        <f t="shared" si="103"/>
        <v>2035432.369407895</v>
      </c>
      <c r="E1065" s="519">
        <f t="shared" si="104"/>
        <v>66918.324473684217</v>
      </c>
      <c r="F1065" s="519">
        <f t="shared" si="97"/>
        <v>1968514.0449342108</v>
      </c>
      <c r="G1065" s="477">
        <f t="shared" si="98"/>
        <v>2001973.2071710529</v>
      </c>
      <c r="H1065" s="513">
        <f>+J1052*G1065+E1065</f>
        <v>289314.96716037922</v>
      </c>
      <c r="I1065" s="520">
        <f>+J1053*G1065+E1065</f>
        <v>289314.96716037922</v>
      </c>
      <c r="J1065" s="516">
        <f t="shared" si="99"/>
        <v>0</v>
      </c>
      <c r="K1065" s="516"/>
      <c r="L1065" s="521"/>
      <c r="M1065" s="516">
        <f t="shared" si="100"/>
        <v>0</v>
      </c>
      <c r="N1065" s="521"/>
      <c r="O1065" s="516">
        <f t="shared" si="101"/>
        <v>0</v>
      </c>
      <c r="P1065" s="516">
        <f t="shared" si="102"/>
        <v>0</v>
      </c>
      <c r="Q1065" s="479"/>
    </row>
    <row r="1066" spans="3:17">
      <c r="C1066" s="512">
        <f>IF(D1051="","-",+C1065+1)</f>
        <v>2033</v>
      </c>
      <c r="D1066" s="477">
        <f t="shared" si="103"/>
        <v>1968514.0449342108</v>
      </c>
      <c r="E1066" s="519">
        <f t="shared" si="104"/>
        <v>66918.324473684217</v>
      </c>
      <c r="F1066" s="519">
        <f t="shared" si="97"/>
        <v>1901595.7204605266</v>
      </c>
      <c r="G1066" s="477">
        <f t="shared" si="98"/>
        <v>1935054.8826973687</v>
      </c>
      <c r="H1066" s="513">
        <f>+J1052*G1066+E1066</f>
        <v>281881.09609564289</v>
      </c>
      <c r="I1066" s="520">
        <f>+J1053*G1066+E1066</f>
        <v>281881.09609564289</v>
      </c>
      <c r="J1066" s="516">
        <f t="shared" si="99"/>
        <v>0</v>
      </c>
      <c r="K1066" s="516"/>
      <c r="L1066" s="521"/>
      <c r="M1066" s="516">
        <f t="shared" si="100"/>
        <v>0</v>
      </c>
      <c r="N1066" s="521"/>
      <c r="O1066" s="516">
        <f t="shared" si="101"/>
        <v>0</v>
      </c>
      <c r="P1066" s="516">
        <f t="shared" si="102"/>
        <v>0</v>
      </c>
      <c r="Q1066" s="479"/>
    </row>
    <row r="1067" spans="3:17">
      <c r="C1067" s="512">
        <f>IF(D1051="","-",+C1066+1)</f>
        <v>2034</v>
      </c>
      <c r="D1067" s="477">
        <f t="shared" si="103"/>
        <v>1901595.7204605266</v>
      </c>
      <c r="E1067" s="519">
        <f t="shared" si="104"/>
        <v>66918.324473684217</v>
      </c>
      <c r="F1067" s="519">
        <f t="shared" si="97"/>
        <v>1834677.3959868425</v>
      </c>
      <c r="G1067" s="477">
        <f t="shared" si="98"/>
        <v>1868136.5582236846</v>
      </c>
      <c r="H1067" s="513">
        <f>+J1052*G1067+E1067</f>
        <v>274447.22503090661</v>
      </c>
      <c r="I1067" s="520">
        <f>+J1053*G1067+E1067</f>
        <v>274447.22503090661</v>
      </c>
      <c r="J1067" s="516">
        <f t="shared" si="99"/>
        <v>0</v>
      </c>
      <c r="K1067" s="516"/>
      <c r="L1067" s="521"/>
      <c r="M1067" s="516">
        <f t="shared" si="100"/>
        <v>0</v>
      </c>
      <c r="N1067" s="521"/>
      <c r="O1067" s="516">
        <f t="shared" si="101"/>
        <v>0</v>
      </c>
      <c r="P1067" s="516">
        <f t="shared" si="102"/>
        <v>0</v>
      </c>
      <c r="Q1067" s="479"/>
    </row>
    <row r="1068" spans="3:17">
      <c r="C1068" s="512">
        <f>IF(D1051="","-",+C1067+1)</f>
        <v>2035</v>
      </c>
      <c r="D1068" s="477">
        <f t="shared" si="103"/>
        <v>1834677.3959868425</v>
      </c>
      <c r="E1068" s="519">
        <f t="shared" si="104"/>
        <v>66918.324473684217</v>
      </c>
      <c r="F1068" s="519">
        <f t="shared" si="97"/>
        <v>1767759.0715131583</v>
      </c>
      <c r="G1068" s="477">
        <f t="shared" si="98"/>
        <v>1801218.2337500004</v>
      </c>
      <c r="H1068" s="513">
        <f>+J1052*G1068+E1068</f>
        <v>267013.35396617028</v>
      </c>
      <c r="I1068" s="520">
        <f>+J1053*G1068+E1068</f>
        <v>267013.35396617028</v>
      </c>
      <c r="J1068" s="516">
        <f t="shared" si="99"/>
        <v>0</v>
      </c>
      <c r="K1068" s="516"/>
      <c r="L1068" s="521"/>
      <c r="M1068" s="516">
        <f t="shared" si="100"/>
        <v>0</v>
      </c>
      <c r="N1068" s="521"/>
      <c r="O1068" s="516">
        <f t="shared" si="101"/>
        <v>0</v>
      </c>
      <c r="P1068" s="516">
        <f t="shared" si="102"/>
        <v>0</v>
      </c>
      <c r="Q1068" s="479"/>
    </row>
    <row r="1069" spans="3:17">
      <c r="C1069" s="512">
        <f>IF(D1051="","-",+C1068+1)</f>
        <v>2036</v>
      </c>
      <c r="D1069" s="477">
        <f t="shared" si="103"/>
        <v>1767759.0715131583</v>
      </c>
      <c r="E1069" s="519">
        <f t="shared" si="104"/>
        <v>66918.324473684217</v>
      </c>
      <c r="F1069" s="519">
        <f t="shared" si="97"/>
        <v>1700840.7470394741</v>
      </c>
      <c r="G1069" s="477">
        <f t="shared" si="98"/>
        <v>1734299.9092763162</v>
      </c>
      <c r="H1069" s="513">
        <f>+J1052*G1069+E1069</f>
        <v>259579.48290143395</v>
      </c>
      <c r="I1069" s="520">
        <f>+J1053*G1069+E1069</f>
        <v>259579.48290143395</v>
      </c>
      <c r="J1069" s="516">
        <f t="shared" si="99"/>
        <v>0</v>
      </c>
      <c r="K1069" s="516"/>
      <c r="L1069" s="521"/>
      <c r="M1069" s="516">
        <f t="shared" si="100"/>
        <v>0</v>
      </c>
      <c r="N1069" s="521"/>
      <c r="O1069" s="516">
        <f t="shared" si="101"/>
        <v>0</v>
      </c>
      <c r="P1069" s="516">
        <f t="shared" si="102"/>
        <v>0</v>
      </c>
      <c r="Q1069" s="479"/>
    </row>
    <row r="1070" spans="3:17">
      <c r="C1070" s="512">
        <f>IF(D1051="","-",+C1069+1)</f>
        <v>2037</v>
      </c>
      <c r="D1070" s="477">
        <f t="shared" si="103"/>
        <v>1700840.7470394741</v>
      </c>
      <c r="E1070" s="519">
        <f t="shared" si="104"/>
        <v>66918.324473684217</v>
      </c>
      <c r="F1070" s="519">
        <f t="shared" si="97"/>
        <v>1633922.4225657899</v>
      </c>
      <c r="G1070" s="477">
        <f t="shared" si="98"/>
        <v>1667381.584802632</v>
      </c>
      <c r="H1070" s="513">
        <f>+J1052*G1070+E1070</f>
        <v>252145.61183669762</v>
      </c>
      <c r="I1070" s="520">
        <f>+J1053*G1070+E1070</f>
        <v>252145.61183669762</v>
      </c>
      <c r="J1070" s="516">
        <f t="shared" si="99"/>
        <v>0</v>
      </c>
      <c r="K1070" s="516"/>
      <c r="L1070" s="521"/>
      <c r="M1070" s="516">
        <f t="shared" si="100"/>
        <v>0</v>
      </c>
      <c r="N1070" s="521"/>
      <c r="O1070" s="516">
        <f t="shared" si="101"/>
        <v>0</v>
      </c>
      <c r="P1070" s="516">
        <f t="shared" si="102"/>
        <v>0</v>
      </c>
      <c r="Q1070" s="479"/>
    </row>
    <row r="1071" spans="3:17">
      <c r="C1071" s="512">
        <f>IF(D1051="","-",+C1070+1)</f>
        <v>2038</v>
      </c>
      <c r="D1071" s="477">
        <f t="shared" si="103"/>
        <v>1633922.4225657899</v>
      </c>
      <c r="E1071" s="519">
        <f t="shared" si="104"/>
        <v>66918.324473684217</v>
      </c>
      <c r="F1071" s="519">
        <f t="shared" si="97"/>
        <v>1567004.0980921057</v>
      </c>
      <c r="G1071" s="477">
        <f t="shared" si="98"/>
        <v>1600463.2603289478</v>
      </c>
      <c r="H1071" s="513">
        <f>+J1052*G1071+E1071</f>
        <v>244711.74077196131</v>
      </c>
      <c r="I1071" s="520">
        <f>+J1053*G1071+E1071</f>
        <v>244711.74077196131</v>
      </c>
      <c r="J1071" s="516">
        <f t="shared" si="99"/>
        <v>0</v>
      </c>
      <c r="K1071" s="516"/>
      <c r="L1071" s="521"/>
      <c r="M1071" s="516">
        <f t="shared" si="100"/>
        <v>0</v>
      </c>
      <c r="N1071" s="521"/>
      <c r="O1071" s="516">
        <f t="shared" si="101"/>
        <v>0</v>
      </c>
      <c r="P1071" s="516">
        <f t="shared" si="102"/>
        <v>0</v>
      </c>
      <c r="Q1071" s="479"/>
    </row>
    <row r="1072" spans="3:17">
      <c r="C1072" s="512">
        <f>IF(D1051="","-",+C1071+1)</f>
        <v>2039</v>
      </c>
      <c r="D1072" s="477">
        <f t="shared" si="103"/>
        <v>1567004.0980921057</v>
      </c>
      <c r="E1072" s="519">
        <f t="shared" si="104"/>
        <v>66918.324473684217</v>
      </c>
      <c r="F1072" s="519">
        <f t="shared" si="97"/>
        <v>1500085.7736184215</v>
      </c>
      <c r="G1072" s="477">
        <f t="shared" si="98"/>
        <v>1533544.9358552636</v>
      </c>
      <c r="H1072" s="513">
        <f>+J1052*G1072+E1072</f>
        <v>237277.86970722498</v>
      </c>
      <c r="I1072" s="520">
        <f>+J1053*G1072+E1072</f>
        <v>237277.86970722498</v>
      </c>
      <c r="J1072" s="516">
        <f t="shared" si="99"/>
        <v>0</v>
      </c>
      <c r="K1072" s="516"/>
      <c r="L1072" s="521"/>
      <c r="M1072" s="516">
        <f t="shared" si="100"/>
        <v>0</v>
      </c>
      <c r="N1072" s="521"/>
      <c r="O1072" s="516">
        <f t="shared" si="101"/>
        <v>0</v>
      </c>
      <c r="P1072" s="516">
        <f t="shared" si="102"/>
        <v>0</v>
      </c>
      <c r="Q1072" s="479"/>
    </row>
    <row r="1073" spans="3:17">
      <c r="C1073" s="512">
        <f>IF(D1051="","-",+C1072+1)</f>
        <v>2040</v>
      </c>
      <c r="D1073" s="477">
        <f t="shared" si="103"/>
        <v>1500085.7736184215</v>
      </c>
      <c r="E1073" s="519">
        <f t="shared" si="104"/>
        <v>66918.324473684217</v>
      </c>
      <c r="F1073" s="519">
        <f t="shared" si="97"/>
        <v>1433167.4491447373</v>
      </c>
      <c r="G1073" s="477">
        <f t="shared" si="98"/>
        <v>1466626.6113815794</v>
      </c>
      <c r="H1073" s="513">
        <f>+J1052*G1073+E1073</f>
        <v>229843.99864248867</v>
      </c>
      <c r="I1073" s="520">
        <f>+J1053*G1073+E1073</f>
        <v>229843.99864248867</v>
      </c>
      <c r="J1073" s="516">
        <f t="shared" si="99"/>
        <v>0</v>
      </c>
      <c r="K1073" s="516"/>
      <c r="L1073" s="521"/>
      <c r="M1073" s="516">
        <f t="shared" si="100"/>
        <v>0</v>
      </c>
      <c r="N1073" s="521"/>
      <c r="O1073" s="516">
        <f t="shared" si="101"/>
        <v>0</v>
      </c>
      <c r="P1073" s="516">
        <f t="shared" si="102"/>
        <v>0</v>
      </c>
      <c r="Q1073" s="479"/>
    </row>
    <row r="1074" spans="3:17">
      <c r="C1074" s="512">
        <f>IF(D1051="","-",+C1073+1)</f>
        <v>2041</v>
      </c>
      <c r="D1074" s="477">
        <f t="shared" si="103"/>
        <v>1433167.4491447373</v>
      </c>
      <c r="E1074" s="519">
        <f t="shared" si="104"/>
        <v>66918.324473684217</v>
      </c>
      <c r="F1074" s="519">
        <f t="shared" si="97"/>
        <v>1366249.1246710531</v>
      </c>
      <c r="G1074" s="477">
        <f t="shared" si="98"/>
        <v>1399708.2869078952</v>
      </c>
      <c r="H1074" s="513">
        <f>+J1052*G1074+E1074</f>
        <v>222410.12757775234</v>
      </c>
      <c r="I1074" s="520">
        <f>+J1053*G1074+E1074</f>
        <v>222410.12757775234</v>
      </c>
      <c r="J1074" s="516">
        <f t="shared" si="99"/>
        <v>0</v>
      </c>
      <c r="K1074" s="516"/>
      <c r="L1074" s="521"/>
      <c r="M1074" s="516">
        <f t="shared" si="100"/>
        <v>0</v>
      </c>
      <c r="N1074" s="521"/>
      <c r="O1074" s="516">
        <f t="shared" si="101"/>
        <v>0</v>
      </c>
      <c r="P1074" s="516">
        <f t="shared" si="102"/>
        <v>0</v>
      </c>
      <c r="Q1074" s="479"/>
    </row>
    <row r="1075" spans="3:17">
      <c r="C1075" s="512">
        <f>IF(D1051="","-",+C1074+1)</f>
        <v>2042</v>
      </c>
      <c r="D1075" s="477">
        <f t="shared" si="103"/>
        <v>1366249.1246710531</v>
      </c>
      <c r="E1075" s="519">
        <f t="shared" si="104"/>
        <v>66918.324473684217</v>
      </c>
      <c r="F1075" s="519">
        <f t="shared" si="97"/>
        <v>1299330.800197369</v>
      </c>
      <c r="G1075" s="477">
        <f t="shared" si="98"/>
        <v>1332789.962434211</v>
      </c>
      <c r="H1075" s="513">
        <f>+J1052*G1075+E1075</f>
        <v>214976.25651301604</v>
      </c>
      <c r="I1075" s="520">
        <f>+J1053*G1075+E1075</f>
        <v>214976.25651301604</v>
      </c>
      <c r="J1075" s="516">
        <f t="shared" si="99"/>
        <v>0</v>
      </c>
      <c r="K1075" s="516"/>
      <c r="L1075" s="521"/>
      <c r="M1075" s="516">
        <f t="shared" si="100"/>
        <v>0</v>
      </c>
      <c r="N1075" s="521"/>
      <c r="O1075" s="516">
        <f t="shared" si="101"/>
        <v>0</v>
      </c>
      <c r="P1075" s="516">
        <f t="shared" si="102"/>
        <v>0</v>
      </c>
      <c r="Q1075" s="479"/>
    </row>
    <row r="1076" spans="3:17">
      <c r="C1076" s="512">
        <f>IF(D1051="","-",+C1075+1)</f>
        <v>2043</v>
      </c>
      <c r="D1076" s="477">
        <f t="shared" si="103"/>
        <v>1299330.800197369</v>
      </c>
      <c r="E1076" s="519">
        <f t="shared" si="104"/>
        <v>66918.324473684217</v>
      </c>
      <c r="F1076" s="519">
        <f t="shared" si="97"/>
        <v>1232412.4757236848</v>
      </c>
      <c r="G1076" s="477">
        <f t="shared" si="98"/>
        <v>1265871.6379605269</v>
      </c>
      <c r="H1076" s="513">
        <f>+J1052*G1076+E1076</f>
        <v>207542.3854482797</v>
      </c>
      <c r="I1076" s="520">
        <f>+J1053*G1076+E1076</f>
        <v>207542.3854482797</v>
      </c>
      <c r="J1076" s="516">
        <f t="shared" si="99"/>
        <v>0</v>
      </c>
      <c r="K1076" s="516"/>
      <c r="L1076" s="521"/>
      <c r="M1076" s="516">
        <f t="shared" si="100"/>
        <v>0</v>
      </c>
      <c r="N1076" s="521"/>
      <c r="O1076" s="516">
        <f t="shared" si="101"/>
        <v>0</v>
      </c>
      <c r="P1076" s="516">
        <f t="shared" si="102"/>
        <v>0</v>
      </c>
      <c r="Q1076" s="479"/>
    </row>
    <row r="1077" spans="3:17">
      <c r="C1077" s="512">
        <f>IF(D1051="","-",+C1076+1)</f>
        <v>2044</v>
      </c>
      <c r="D1077" s="477">
        <f t="shared" si="103"/>
        <v>1232412.4757236848</v>
      </c>
      <c r="E1077" s="519">
        <f t="shared" si="104"/>
        <v>66918.324473684217</v>
      </c>
      <c r="F1077" s="519">
        <f t="shared" si="97"/>
        <v>1165494.1512500006</v>
      </c>
      <c r="G1077" s="477">
        <f t="shared" si="98"/>
        <v>1198953.3134868427</v>
      </c>
      <c r="H1077" s="513">
        <f>+J1052*G1077+E1077</f>
        <v>200108.5143835434</v>
      </c>
      <c r="I1077" s="520">
        <f>+J1053*G1077+E1077</f>
        <v>200108.5143835434</v>
      </c>
      <c r="J1077" s="516">
        <f t="shared" si="99"/>
        <v>0</v>
      </c>
      <c r="K1077" s="516"/>
      <c r="L1077" s="521"/>
      <c r="M1077" s="516">
        <f t="shared" si="100"/>
        <v>0</v>
      </c>
      <c r="N1077" s="521"/>
      <c r="O1077" s="516">
        <f t="shared" si="101"/>
        <v>0</v>
      </c>
      <c r="P1077" s="516">
        <f t="shared" si="102"/>
        <v>0</v>
      </c>
      <c r="Q1077" s="479"/>
    </row>
    <row r="1078" spans="3:17">
      <c r="C1078" s="512">
        <f>IF(D1051="","-",+C1077+1)</f>
        <v>2045</v>
      </c>
      <c r="D1078" s="477">
        <f t="shared" si="103"/>
        <v>1165494.1512500006</v>
      </c>
      <c r="E1078" s="519">
        <f t="shared" si="104"/>
        <v>66918.324473684217</v>
      </c>
      <c r="F1078" s="519">
        <f t="shared" si="97"/>
        <v>1098575.8267763164</v>
      </c>
      <c r="G1078" s="477">
        <f t="shared" si="98"/>
        <v>1132034.9890131585</v>
      </c>
      <c r="H1078" s="513">
        <f>+J1052*G1078+E1078</f>
        <v>192674.64331880707</v>
      </c>
      <c r="I1078" s="520">
        <f>+J1053*G1078+E1078</f>
        <v>192674.64331880707</v>
      </c>
      <c r="J1078" s="516">
        <f t="shared" si="99"/>
        <v>0</v>
      </c>
      <c r="K1078" s="516"/>
      <c r="L1078" s="521"/>
      <c r="M1078" s="516">
        <f t="shared" si="100"/>
        <v>0</v>
      </c>
      <c r="N1078" s="521"/>
      <c r="O1078" s="516">
        <f t="shared" si="101"/>
        <v>0</v>
      </c>
      <c r="P1078" s="516">
        <f t="shared" si="102"/>
        <v>0</v>
      </c>
      <c r="Q1078" s="479"/>
    </row>
    <row r="1079" spans="3:17">
      <c r="C1079" s="512">
        <f>IF(D1051="","-",+C1078+1)</f>
        <v>2046</v>
      </c>
      <c r="D1079" s="477">
        <f t="shared" si="103"/>
        <v>1098575.8267763164</v>
      </c>
      <c r="E1079" s="519">
        <f t="shared" si="104"/>
        <v>66918.324473684217</v>
      </c>
      <c r="F1079" s="519">
        <f t="shared" si="97"/>
        <v>1031657.5023026322</v>
      </c>
      <c r="G1079" s="477">
        <f t="shared" si="98"/>
        <v>1065116.6645394743</v>
      </c>
      <c r="H1079" s="513">
        <f>+J1052*G1079+E1079</f>
        <v>185240.77225407073</v>
      </c>
      <c r="I1079" s="520">
        <f>+J1053*G1079+E1079</f>
        <v>185240.77225407073</v>
      </c>
      <c r="J1079" s="516">
        <f t="shared" si="99"/>
        <v>0</v>
      </c>
      <c r="K1079" s="516"/>
      <c r="L1079" s="521"/>
      <c r="M1079" s="516">
        <f t="shared" si="100"/>
        <v>0</v>
      </c>
      <c r="N1079" s="521"/>
      <c r="O1079" s="516">
        <f t="shared" si="101"/>
        <v>0</v>
      </c>
      <c r="P1079" s="516">
        <f t="shared" si="102"/>
        <v>0</v>
      </c>
      <c r="Q1079" s="479"/>
    </row>
    <row r="1080" spans="3:17">
      <c r="C1080" s="512">
        <f>IF(D1051="","-",+C1079+1)</f>
        <v>2047</v>
      </c>
      <c r="D1080" s="477">
        <f t="shared" si="103"/>
        <v>1031657.5023026322</v>
      </c>
      <c r="E1080" s="519">
        <f t="shared" si="104"/>
        <v>66918.324473684217</v>
      </c>
      <c r="F1080" s="519">
        <f t="shared" si="97"/>
        <v>964739.17782894801</v>
      </c>
      <c r="G1080" s="477">
        <f t="shared" si="98"/>
        <v>998198.34006579011</v>
      </c>
      <c r="H1080" s="513">
        <f>+J1052*G1080+E1080</f>
        <v>177806.90118933443</v>
      </c>
      <c r="I1080" s="520">
        <f>+J1053*G1080+E1080</f>
        <v>177806.90118933443</v>
      </c>
      <c r="J1080" s="516">
        <f t="shared" si="99"/>
        <v>0</v>
      </c>
      <c r="K1080" s="516"/>
      <c r="L1080" s="521"/>
      <c r="M1080" s="516">
        <f t="shared" si="100"/>
        <v>0</v>
      </c>
      <c r="N1080" s="521"/>
      <c r="O1080" s="516">
        <f t="shared" si="101"/>
        <v>0</v>
      </c>
      <c r="P1080" s="516">
        <f t="shared" si="102"/>
        <v>0</v>
      </c>
      <c r="Q1080" s="479"/>
    </row>
    <row r="1081" spans="3:17">
      <c r="C1081" s="512">
        <f>IF(D1051="","-",+C1080+1)</f>
        <v>2048</v>
      </c>
      <c r="D1081" s="477">
        <f t="shared" si="103"/>
        <v>964739.17782894801</v>
      </c>
      <c r="E1081" s="519">
        <f t="shared" si="104"/>
        <v>66918.324473684217</v>
      </c>
      <c r="F1081" s="519">
        <f t="shared" si="97"/>
        <v>897820.85335526383</v>
      </c>
      <c r="G1081" s="477">
        <f t="shared" si="98"/>
        <v>931280.01559210592</v>
      </c>
      <c r="H1081" s="513">
        <f>+J1052*G1081+E1081</f>
        <v>170373.03012459812</v>
      </c>
      <c r="I1081" s="520">
        <f>+J1053*G1081+E1081</f>
        <v>170373.03012459812</v>
      </c>
      <c r="J1081" s="516">
        <f t="shared" si="99"/>
        <v>0</v>
      </c>
      <c r="K1081" s="516"/>
      <c r="L1081" s="521"/>
      <c r="M1081" s="516">
        <f t="shared" si="100"/>
        <v>0</v>
      </c>
      <c r="N1081" s="521"/>
      <c r="O1081" s="516">
        <f t="shared" si="101"/>
        <v>0</v>
      </c>
      <c r="P1081" s="516">
        <f t="shared" si="102"/>
        <v>0</v>
      </c>
      <c r="Q1081" s="479"/>
    </row>
    <row r="1082" spans="3:17">
      <c r="C1082" s="512">
        <f>IF(D1051="","-",+C1081+1)</f>
        <v>2049</v>
      </c>
      <c r="D1082" s="477">
        <f t="shared" si="103"/>
        <v>897820.85335526383</v>
      </c>
      <c r="E1082" s="519">
        <f t="shared" si="104"/>
        <v>66918.324473684217</v>
      </c>
      <c r="F1082" s="519">
        <f t="shared" si="97"/>
        <v>830902.52888157964</v>
      </c>
      <c r="G1082" s="477">
        <f t="shared" si="98"/>
        <v>864361.69111842173</v>
      </c>
      <c r="H1082" s="513">
        <f>+J1052*G1082+E1082</f>
        <v>162939.15905986179</v>
      </c>
      <c r="I1082" s="520">
        <f>+J1053*G1082+E1082</f>
        <v>162939.15905986179</v>
      </c>
      <c r="J1082" s="516">
        <f t="shared" si="99"/>
        <v>0</v>
      </c>
      <c r="K1082" s="516"/>
      <c r="L1082" s="521"/>
      <c r="M1082" s="516">
        <f t="shared" si="100"/>
        <v>0</v>
      </c>
      <c r="N1082" s="521"/>
      <c r="O1082" s="516">
        <f t="shared" si="101"/>
        <v>0</v>
      </c>
      <c r="P1082" s="516">
        <f t="shared" si="102"/>
        <v>0</v>
      </c>
      <c r="Q1082" s="479"/>
    </row>
    <row r="1083" spans="3:17">
      <c r="C1083" s="512">
        <f>IF(D1051="","-",+C1082+1)</f>
        <v>2050</v>
      </c>
      <c r="D1083" s="477">
        <f t="shared" si="103"/>
        <v>830902.52888157964</v>
      </c>
      <c r="E1083" s="519">
        <f t="shared" si="104"/>
        <v>66918.324473684217</v>
      </c>
      <c r="F1083" s="519">
        <f t="shared" si="97"/>
        <v>763984.20440789545</v>
      </c>
      <c r="G1083" s="477">
        <f t="shared" si="98"/>
        <v>797443.36664473754</v>
      </c>
      <c r="H1083" s="513">
        <f>+J1052*G1083+E1083</f>
        <v>155505.28799512546</v>
      </c>
      <c r="I1083" s="520">
        <f>+J1053*G1083+E1083</f>
        <v>155505.28799512546</v>
      </c>
      <c r="J1083" s="516">
        <f t="shared" si="99"/>
        <v>0</v>
      </c>
      <c r="K1083" s="516"/>
      <c r="L1083" s="521"/>
      <c r="M1083" s="516">
        <f t="shared" si="100"/>
        <v>0</v>
      </c>
      <c r="N1083" s="521"/>
      <c r="O1083" s="516">
        <f t="shared" si="101"/>
        <v>0</v>
      </c>
      <c r="P1083" s="516">
        <f t="shared" si="102"/>
        <v>0</v>
      </c>
      <c r="Q1083" s="479"/>
    </row>
    <row r="1084" spans="3:17">
      <c r="C1084" s="512">
        <f>IF(D1051="","-",+C1083+1)</f>
        <v>2051</v>
      </c>
      <c r="D1084" s="477">
        <f t="shared" si="103"/>
        <v>763984.20440789545</v>
      </c>
      <c r="E1084" s="519">
        <f t="shared" si="104"/>
        <v>66918.324473684217</v>
      </c>
      <c r="F1084" s="519">
        <f t="shared" si="97"/>
        <v>697065.87993421126</v>
      </c>
      <c r="G1084" s="477">
        <f t="shared" si="98"/>
        <v>730525.04217105336</v>
      </c>
      <c r="H1084" s="513">
        <f>+J1052*G1084+E1084</f>
        <v>148071.41693038915</v>
      </c>
      <c r="I1084" s="520">
        <f>+J1053*G1084+E1084</f>
        <v>148071.41693038915</v>
      </c>
      <c r="J1084" s="516">
        <f t="shared" si="99"/>
        <v>0</v>
      </c>
      <c r="K1084" s="516"/>
      <c r="L1084" s="521"/>
      <c r="M1084" s="516">
        <f t="shared" si="100"/>
        <v>0</v>
      </c>
      <c r="N1084" s="521"/>
      <c r="O1084" s="516">
        <f t="shared" si="101"/>
        <v>0</v>
      </c>
      <c r="P1084" s="516">
        <f t="shared" si="102"/>
        <v>0</v>
      </c>
      <c r="Q1084" s="479"/>
    </row>
    <row r="1085" spans="3:17">
      <c r="C1085" s="512">
        <f>IF(D1051="","-",+C1084+1)</f>
        <v>2052</v>
      </c>
      <c r="D1085" s="477">
        <f t="shared" si="103"/>
        <v>697065.87993421126</v>
      </c>
      <c r="E1085" s="519">
        <f t="shared" si="104"/>
        <v>66918.324473684217</v>
      </c>
      <c r="F1085" s="519">
        <f t="shared" si="97"/>
        <v>630147.55546052707</v>
      </c>
      <c r="G1085" s="477">
        <f t="shared" si="98"/>
        <v>663606.71769736917</v>
      </c>
      <c r="H1085" s="513">
        <f>+J1052*G1085+E1085</f>
        <v>140637.54586565285</v>
      </c>
      <c r="I1085" s="520">
        <f>+J1053*G1085+E1085</f>
        <v>140637.54586565285</v>
      </c>
      <c r="J1085" s="516">
        <f t="shared" si="99"/>
        <v>0</v>
      </c>
      <c r="K1085" s="516"/>
      <c r="L1085" s="521"/>
      <c r="M1085" s="516">
        <f t="shared" si="100"/>
        <v>0</v>
      </c>
      <c r="N1085" s="521"/>
      <c r="O1085" s="516">
        <f t="shared" si="101"/>
        <v>0</v>
      </c>
      <c r="P1085" s="516">
        <f t="shared" si="102"/>
        <v>0</v>
      </c>
      <c r="Q1085" s="479"/>
    </row>
    <row r="1086" spans="3:17">
      <c r="C1086" s="512">
        <f>IF(D1051="","-",+C1085+1)</f>
        <v>2053</v>
      </c>
      <c r="D1086" s="477">
        <f t="shared" si="103"/>
        <v>630147.55546052707</v>
      </c>
      <c r="E1086" s="519">
        <f t="shared" si="104"/>
        <v>66918.324473684217</v>
      </c>
      <c r="F1086" s="519">
        <f t="shared" si="97"/>
        <v>563229.23098684289</v>
      </c>
      <c r="G1086" s="477">
        <f t="shared" si="98"/>
        <v>596688.39322368498</v>
      </c>
      <c r="H1086" s="513">
        <f>+J1052*G1086+E1086</f>
        <v>133203.67480091652</v>
      </c>
      <c r="I1086" s="520">
        <f>+J1053*G1086+E1086</f>
        <v>133203.67480091652</v>
      </c>
      <c r="J1086" s="516">
        <f t="shared" si="99"/>
        <v>0</v>
      </c>
      <c r="K1086" s="516"/>
      <c r="L1086" s="521"/>
      <c r="M1086" s="516">
        <f t="shared" si="100"/>
        <v>0</v>
      </c>
      <c r="N1086" s="521"/>
      <c r="O1086" s="516">
        <f t="shared" si="101"/>
        <v>0</v>
      </c>
      <c r="P1086" s="516">
        <f t="shared" si="102"/>
        <v>0</v>
      </c>
      <c r="Q1086" s="479"/>
    </row>
    <row r="1087" spans="3:17">
      <c r="C1087" s="512">
        <f>IF(D1051="","-",+C1086+1)</f>
        <v>2054</v>
      </c>
      <c r="D1087" s="477">
        <f t="shared" si="103"/>
        <v>563229.23098684289</v>
      </c>
      <c r="E1087" s="519">
        <f t="shared" si="104"/>
        <v>66918.324473684217</v>
      </c>
      <c r="F1087" s="519">
        <f t="shared" si="97"/>
        <v>496310.9065131587</v>
      </c>
      <c r="G1087" s="477">
        <f t="shared" si="98"/>
        <v>529770.06875000079</v>
      </c>
      <c r="H1087" s="513">
        <f>+J1052*G1087+E1087</f>
        <v>125769.80373618018</v>
      </c>
      <c r="I1087" s="520">
        <f>+J1053*G1087+E1087</f>
        <v>125769.80373618018</v>
      </c>
      <c r="J1087" s="516">
        <f t="shared" si="99"/>
        <v>0</v>
      </c>
      <c r="K1087" s="516"/>
      <c r="L1087" s="521"/>
      <c r="M1087" s="516">
        <f t="shared" si="100"/>
        <v>0</v>
      </c>
      <c r="N1087" s="521"/>
      <c r="O1087" s="516">
        <f t="shared" si="101"/>
        <v>0</v>
      </c>
      <c r="P1087" s="516">
        <f t="shared" si="102"/>
        <v>0</v>
      </c>
      <c r="Q1087" s="479"/>
    </row>
    <row r="1088" spans="3:17">
      <c r="C1088" s="512">
        <f>IF(D1051="","-",+C1087+1)</f>
        <v>2055</v>
      </c>
      <c r="D1088" s="477">
        <f t="shared" si="103"/>
        <v>496310.9065131587</v>
      </c>
      <c r="E1088" s="519">
        <f t="shared" si="104"/>
        <v>66918.324473684217</v>
      </c>
      <c r="F1088" s="519">
        <f t="shared" si="97"/>
        <v>429392.58203947451</v>
      </c>
      <c r="G1088" s="477">
        <f t="shared" si="98"/>
        <v>462851.7442763166</v>
      </c>
      <c r="H1088" s="513">
        <f>+J1052*G1088+E1088</f>
        <v>118335.93267144388</v>
      </c>
      <c r="I1088" s="520">
        <f>+J1053*G1088+E1088</f>
        <v>118335.93267144388</v>
      </c>
      <c r="J1088" s="516">
        <f t="shared" si="99"/>
        <v>0</v>
      </c>
      <c r="K1088" s="516"/>
      <c r="L1088" s="521"/>
      <c r="M1088" s="516">
        <f t="shared" si="100"/>
        <v>0</v>
      </c>
      <c r="N1088" s="521"/>
      <c r="O1088" s="516">
        <f t="shared" si="101"/>
        <v>0</v>
      </c>
      <c r="P1088" s="516">
        <f t="shared" si="102"/>
        <v>0</v>
      </c>
      <c r="Q1088" s="479"/>
    </row>
    <row r="1089" spans="3:17">
      <c r="C1089" s="512">
        <f>IF(D1051="","-",+C1088+1)</f>
        <v>2056</v>
      </c>
      <c r="D1089" s="477">
        <f t="shared" si="103"/>
        <v>429392.58203947451</v>
      </c>
      <c r="E1089" s="519">
        <f t="shared" si="104"/>
        <v>66918.324473684217</v>
      </c>
      <c r="F1089" s="519">
        <f t="shared" si="97"/>
        <v>362474.25756579032</v>
      </c>
      <c r="G1089" s="477">
        <f t="shared" si="98"/>
        <v>395933.41980263242</v>
      </c>
      <c r="H1089" s="513">
        <f>+J1052*G1089+E1089</f>
        <v>110902.06160670755</v>
      </c>
      <c r="I1089" s="520">
        <f>+J1053*G1089+E1089</f>
        <v>110902.06160670755</v>
      </c>
      <c r="J1089" s="516">
        <f t="shared" si="99"/>
        <v>0</v>
      </c>
      <c r="K1089" s="516"/>
      <c r="L1089" s="521"/>
      <c r="M1089" s="516">
        <f t="shared" si="100"/>
        <v>0</v>
      </c>
      <c r="N1089" s="521"/>
      <c r="O1089" s="516">
        <f t="shared" si="101"/>
        <v>0</v>
      </c>
      <c r="P1089" s="516">
        <f t="shared" si="102"/>
        <v>0</v>
      </c>
      <c r="Q1089" s="479"/>
    </row>
    <row r="1090" spans="3:17">
      <c r="C1090" s="512">
        <f>IF(D1051="","-",+C1089+1)</f>
        <v>2057</v>
      </c>
      <c r="D1090" s="477">
        <f t="shared" si="103"/>
        <v>362474.25756579032</v>
      </c>
      <c r="E1090" s="519">
        <f>IF(D1090&gt;$J$1054,$J$1054,D1090)</f>
        <v>66918.324473684217</v>
      </c>
      <c r="F1090" s="519">
        <f t="shared" si="97"/>
        <v>295555.93309210613</v>
      </c>
      <c r="G1090" s="477">
        <f t="shared" si="98"/>
        <v>329015.09532894823</v>
      </c>
      <c r="H1090" s="513">
        <f>+J1052*G1090+E1090</f>
        <v>103468.19054197123</v>
      </c>
      <c r="I1090" s="520">
        <f>+J1053*G1090+E1090</f>
        <v>103468.19054197123</v>
      </c>
      <c r="J1090" s="516">
        <f t="shared" si="99"/>
        <v>0</v>
      </c>
      <c r="K1090" s="516"/>
      <c r="L1090" s="521"/>
      <c r="M1090" s="516">
        <f t="shared" si="100"/>
        <v>0</v>
      </c>
      <c r="N1090" s="521"/>
      <c r="O1090" s="516">
        <f t="shared" si="101"/>
        <v>0</v>
      </c>
      <c r="P1090" s="516">
        <f t="shared" si="102"/>
        <v>0</v>
      </c>
      <c r="Q1090" s="479"/>
    </row>
    <row r="1091" spans="3:17">
      <c r="C1091" s="512">
        <f>IF(D1051="","-",+C1090+1)</f>
        <v>2058</v>
      </c>
      <c r="D1091" s="477">
        <f t="shared" si="103"/>
        <v>295555.93309210613</v>
      </c>
      <c r="E1091" s="519">
        <f t="shared" si="104"/>
        <v>66918.324473684217</v>
      </c>
      <c r="F1091" s="519">
        <f t="shared" si="97"/>
        <v>228637.60861842192</v>
      </c>
      <c r="G1091" s="477">
        <f t="shared" si="98"/>
        <v>262096.77085526404</v>
      </c>
      <c r="H1091" s="513">
        <f>+J1052*G1091+E1091</f>
        <v>96034.319477234909</v>
      </c>
      <c r="I1091" s="520">
        <f>+J1053*G1091+E1091</f>
        <v>96034.319477234909</v>
      </c>
      <c r="J1091" s="516">
        <f t="shared" si="99"/>
        <v>0</v>
      </c>
      <c r="K1091" s="516"/>
      <c r="L1091" s="521"/>
      <c r="M1091" s="516">
        <f t="shared" si="100"/>
        <v>0</v>
      </c>
      <c r="N1091" s="521"/>
      <c r="O1091" s="516">
        <f t="shared" si="101"/>
        <v>0</v>
      </c>
      <c r="P1091" s="516">
        <f t="shared" si="102"/>
        <v>0</v>
      </c>
      <c r="Q1091" s="479"/>
    </row>
    <row r="1092" spans="3:17">
      <c r="C1092" s="512">
        <f>IF(D1051="","-",+C1091+1)</f>
        <v>2059</v>
      </c>
      <c r="D1092" s="477">
        <f t="shared" si="103"/>
        <v>228637.60861842192</v>
      </c>
      <c r="E1092" s="519">
        <f t="shared" si="104"/>
        <v>66918.324473684217</v>
      </c>
      <c r="F1092" s="519">
        <f t="shared" si="97"/>
        <v>161719.2841447377</v>
      </c>
      <c r="G1092" s="477">
        <f t="shared" si="98"/>
        <v>195178.44638157979</v>
      </c>
      <c r="H1092" s="513">
        <f>+J1052*G1092+E1092</f>
        <v>88600.448412498576</v>
      </c>
      <c r="I1092" s="520">
        <f>+J1053*G1092+E1092</f>
        <v>88600.448412498576</v>
      </c>
      <c r="J1092" s="516">
        <f t="shared" si="99"/>
        <v>0</v>
      </c>
      <c r="K1092" s="516"/>
      <c r="L1092" s="521"/>
      <c r="M1092" s="516">
        <f t="shared" si="100"/>
        <v>0</v>
      </c>
      <c r="N1092" s="521"/>
      <c r="O1092" s="516">
        <f t="shared" si="101"/>
        <v>0</v>
      </c>
      <c r="P1092" s="516">
        <f t="shared" si="102"/>
        <v>0</v>
      </c>
      <c r="Q1092" s="479"/>
    </row>
    <row r="1093" spans="3:17">
      <c r="C1093" s="512">
        <f>IF(D1051="","-",+C1092+1)</f>
        <v>2060</v>
      </c>
      <c r="D1093" s="477">
        <f t="shared" si="103"/>
        <v>161719.2841447377</v>
      </c>
      <c r="E1093" s="519">
        <f t="shared" si="104"/>
        <v>66918.324473684217</v>
      </c>
      <c r="F1093" s="519">
        <f t="shared" si="97"/>
        <v>94800.959671053482</v>
      </c>
      <c r="G1093" s="477">
        <f t="shared" si="98"/>
        <v>128260.12190789559</v>
      </c>
      <c r="H1093" s="513">
        <f>+J1052*G1093+E1093</f>
        <v>81166.577347762257</v>
      </c>
      <c r="I1093" s="520">
        <f>+J1053*G1093+E1093</f>
        <v>81166.577347762257</v>
      </c>
      <c r="J1093" s="516">
        <f t="shared" si="99"/>
        <v>0</v>
      </c>
      <c r="K1093" s="516"/>
      <c r="L1093" s="521"/>
      <c r="M1093" s="516">
        <f t="shared" si="100"/>
        <v>0</v>
      </c>
      <c r="N1093" s="521"/>
      <c r="O1093" s="516">
        <f t="shared" si="101"/>
        <v>0</v>
      </c>
      <c r="P1093" s="516">
        <f t="shared" si="102"/>
        <v>0</v>
      </c>
      <c r="Q1093" s="479"/>
    </row>
    <row r="1094" spans="3:17">
      <c r="C1094" s="512">
        <f>IF(D1051="","-",+C1093+1)</f>
        <v>2061</v>
      </c>
      <c r="D1094" s="477">
        <f t="shared" si="103"/>
        <v>94800.959671053482</v>
      </c>
      <c r="E1094" s="519">
        <f t="shared" si="104"/>
        <v>66918.324473684217</v>
      </c>
      <c r="F1094" s="519">
        <f t="shared" si="97"/>
        <v>27882.635197369265</v>
      </c>
      <c r="G1094" s="477">
        <f t="shared" si="98"/>
        <v>61341.797434211374</v>
      </c>
      <c r="H1094" s="513">
        <f>+J1052*G1094+E1094</f>
        <v>73732.706283025938</v>
      </c>
      <c r="I1094" s="520">
        <f>+J1053*G1094+E1094</f>
        <v>73732.706283025938</v>
      </c>
      <c r="J1094" s="516">
        <f t="shared" si="99"/>
        <v>0</v>
      </c>
      <c r="K1094" s="516"/>
      <c r="L1094" s="521"/>
      <c r="M1094" s="516">
        <f t="shared" si="100"/>
        <v>0</v>
      </c>
      <c r="N1094" s="521"/>
      <c r="O1094" s="516">
        <f t="shared" si="101"/>
        <v>0</v>
      </c>
      <c r="P1094" s="516">
        <f t="shared" si="102"/>
        <v>0</v>
      </c>
      <c r="Q1094" s="479"/>
    </row>
    <row r="1095" spans="3:17">
      <c r="C1095" s="512">
        <f>IF(D1051="","-",+C1094+1)</f>
        <v>2062</v>
      </c>
      <c r="D1095" s="477">
        <f t="shared" si="103"/>
        <v>27882.635197369265</v>
      </c>
      <c r="E1095" s="519">
        <f t="shared" si="104"/>
        <v>27882.635197369265</v>
      </c>
      <c r="F1095" s="519">
        <f t="shared" si="97"/>
        <v>0</v>
      </c>
      <c r="G1095" s="477">
        <f t="shared" si="98"/>
        <v>13941.317598684633</v>
      </c>
      <c r="H1095" s="513">
        <f>+J1052*G1095+E1095</f>
        <v>29431.358335856046</v>
      </c>
      <c r="I1095" s="520">
        <f>+J1053*G1095+E1095</f>
        <v>29431.358335856046</v>
      </c>
      <c r="J1095" s="516">
        <f t="shared" si="99"/>
        <v>0</v>
      </c>
      <c r="K1095" s="516"/>
      <c r="L1095" s="521"/>
      <c r="M1095" s="516">
        <f t="shared" si="100"/>
        <v>0</v>
      </c>
      <c r="N1095" s="521"/>
      <c r="O1095" s="516">
        <f t="shared" si="101"/>
        <v>0</v>
      </c>
      <c r="P1095" s="516">
        <f t="shared" si="102"/>
        <v>0</v>
      </c>
      <c r="Q1095" s="479"/>
    </row>
    <row r="1096" spans="3:17">
      <c r="C1096" s="512">
        <f>IF(D1051="","-",+C1095+1)</f>
        <v>2063</v>
      </c>
      <c r="D1096" s="477">
        <f t="shared" si="103"/>
        <v>0</v>
      </c>
      <c r="E1096" s="519">
        <f t="shared" si="104"/>
        <v>0</v>
      </c>
      <c r="F1096" s="519">
        <f t="shared" si="97"/>
        <v>0</v>
      </c>
      <c r="G1096" s="477">
        <f t="shared" si="98"/>
        <v>0</v>
      </c>
      <c r="H1096" s="513">
        <f>+J1052*G1096+E1096</f>
        <v>0</v>
      </c>
      <c r="I1096" s="520">
        <f>+J1053*G1096+E1096</f>
        <v>0</v>
      </c>
      <c r="J1096" s="516">
        <f t="shared" si="99"/>
        <v>0</v>
      </c>
      <c r="K1096" s="516"/>
      <c r="L1096" s="521"/>
      <c r="M1096" s="516">
        <f t="shared" si="100"/>
        <v>0</v>
      </c>
      <c r="N1096" s="521"/>
      <c r="O1096" s="516">
        <f t="shared" si="101"/>
        <v>0</v>
      </c>
      <c r="P1096" s="516">
        <f t="shared" si="102"/>
        <v>0</v>
      </c>
      <c r="Q1096" s="479"/>
    </row>
    <row r="1097" spans="3:17">
      <c r="C1097" s="512">
        <f>IF(D1051="","-",+C1096+1)</f>
        <v>2064</v>
      </c>
      <c r="D1097" s="477">
        <f t="shared" si="103"/>
        <v>0</v>
      </c>
      <c r="E1097" s="519">
        <f t="shared" si="104"/>
        <v>0</v>
      </c>
      <c r="F1097" s="519">
        <f t="shared" si="97"/>
        <v>0</v>
      </c>
      <c r="G1097" s="477">
        <f t="shared" si="98"/>
        <v>0</v>
      </c>
      <c r="H1097" s="513">
        <f>+J1052*G1097+E1097</f>
        <v>0</v>
      </c>
      <c r="I1097" s="520">
        <f>+J1053*G1097+E1097</f>
        <v>0</v>
      </c>
      <c r="J1097" s="516">
        <f t="shared" si="99"/>
        <v>0</v>
      </c>
      <c r="K1097" s="516"/>
      <c r="L1097" s="521"/>
      <c r="M1097" s="516">
        <f t="shared" si="100"/>
        <v>0</v>
      </c>
      <c r="N1097" s="521"/>
      <c r="O1097" s="516">
        <f t="shared" si="101"/>
        <v>0</v>
      </c>
      <c r="P1097" s="516">
        <f t="shared" si="102"/>
        <v>0</v>
      </c>
      <c r="Q1097" s="479"/>
    </row>
    <row r="1098" spans="3:17">
      <c r="C1098" s="512">
        <f>IF(D1051="","-",+C1097+1)</f>
        <v>2065</v>
      </c>
      <c r="D1098" s="477">
        <f t="shared" si="103"/>
        <v>0</v>
      </c>
      <c r="E1098" s="519">
        <f t="shared" si="104"/>
        <v>0</v>
      </c>
      <c r="F1098" s="519">
        <f t="shared" si="97"/>
        <v>0</v>
      </c>
      <c r="G1098" s="477">
        <f t="shared" si="98"/>
        <v>0</v>
      </c>
      <c r="H1098" s="513">
        <f>+J1052*G1098+E1098</f>
        <v>0</v>
      </c>
      <c r="I1098" s="520">
        <f>+J1053*G1098+E1098</f>
        <v>0</v>
      </c>
      <c r="J1098" s="516">
        <f t="shared" si="99"/>
        <v>0</v>
      </c>
      <c r="K1098" s="516"/>
      <c r="L1098" s="521"/>
      <c r="M1098" s="516">
        <f t="shared" si="100"/>
        <v>0</v>
      </c>
      <c r="N1098" s="521"/>
      <c r="O1098" s="516">
        <f t="shared" si="101"/>
        <v>0</v>
      </c>
      <c r="P1098" s="516">
        <f t="shared" si="102"/>
        <v>0</v>
      </c>
      <c r="Q1098" s="479"/>
    </row>
    <row r="1099" spans="3:17">
      <c r="C1099" s="512">
        <f>IF(D1051="","-",+C1098+1)</f>
        <v>2066</v>
      </c>
      <c r="D1099" s="477">
        <f t="shared" si="103"/>
        <v>0</v>
      </c>
      <c r="E1099" s="519">
        <f t="shared" si="104"/>
        <v>0</v>
      </c>
      <c r="F1099" s="519">
        <f t="shared" si="97"/>
        <v>0</v>
      </c>
      <c r="G1099" s="477">
        <f t="shared" si="98"/>
        <v>0</v>
      </c>
      <c r="H1099" s="513">
        <f>+J1052*G1099+E1099</f>
        <v>0</v>
      </c>
      <c r="I1099" s="520">
        <f>+J1053*G1099+E1099</f>
        <v>0</v>
      </c>
      <c r="J1099" s="516">
        <f t="shared" si="99"/>
        <v>0</v>
      </c>
      <c r="K1099" s="516"/>
      <c r="L1099" s="521"/>
      <c r="M1099" s="516">
        <f t="shared" si="100"/>
        <v>0</v>
      </c>
      <c r="N1099" s="521"/>
      <c r="O1099" s="516">
        <f t="shared" si="101"/>
        <v>0</v>
      </c>
      <c r="P1099" s="516">
        <f t="shared" si="102"/>
        <v>0</v>
      </c>
      <c r="Q1099" s="479"/>
    </row>
    <row r="1100" spans="3:17">
      <c r="C1100" s="512">
        <f>IF(D1051="","-",+C1099+1)</f>
        <v>2067</v>
      </c>
      <c r="D1100" s="477">
        <f t="shared" si="103"/>
        <v>0</v>
      </c>
      <c r="E1100" s="519">
        <f t="shared" si="104"/>
        <v>0</v>
      </c>
      <c r="F1100" s="519">
        <f t="shared" si="97"/>
        <v>0</v>
      </c>
      <c r="G1100" s="477">
        <f t="shared" si="98"/>
        <v>0</v>
      </c>
      <c r="H1100" s="513">
        <f>+J1052*G1100+E1100</f>
        <v>0</v>
      </c>
      <c r="I1100" s="520">
        <f>+J1053*G1100+E1100</f>
        <v>0</v>
      </c>
      <c r="J1100" s="516">
        <f t="shared" si="99"/>
        <v>0</v>
      </c>
      <c r="K1100" s="516"/>
      <c r="L1100" s="521"/>
      <c r="M1100" s="516">
        <f t="shared" si="100"/>
        <v>0</v>
      </c>
      <c r="N1100" s="521"/>
      <c r="O1100" s="516">
        <f t="shared" si="101"/>
        <v>0</v>
      </c>
      <c r="P1100" s="516">
        <f t="shared" si="102"/>
        <v>0</v>
      </c>
      <c r="Q1100" s="479"/>
    </row>
    <row r="1101" spans="3:17">
      <c r="C1101" s="512">
        <f>IF(D1051="","-",+C1100+1)</f>
        <v>2068</v>
      </c>
      <c r="D1101" s="477">
        <f t="shared" si="103"/>
        <v>0</v>
      </c>
      <c r="E1101" s="519">
        <f t="shared" si="104"/>
        <v>0</v>
      </c>
      <c r="F1101" s="519">
        <f t="shared" si="97"/>
        <v>0</v>
      </c>
      <c r="G1101" s="477">
        <f t="shared" si="98"/>
        <v>0</v>
      </c>
      <c r="H1101" s="513">
        <f>+J1052*G1101+E1101</f>
        <v>0</v>
      </c>
      <c r="I1101" s="520">
        <f>+J1053*G1101+E1101</f>
        <v>0</v>
      </c>
      <c r="J1101" s="516">
        <f t="shared" si="99"/>
        <v>0</v>
      </c>
      <c r="K1101" s="516"/>
      <c r="L1101" s="521"/>
      <c r="M1101" s="516">
        <f t="shared" si="100"/>
        <v>0</v>
      </c>
      <c r="N1101" s="521"/>
      <c r="O1101" s="516">
        <f t="shared" si="101"/>
        <v>0</v>
      </c>
      <c r="P1101" s="516">
        <f t="shared" si="102"/>
        <v>0</v>
      </c>
      <c r="Q1101" s="479"/>
    </row>
    <row r="1102" spans="3:17">
      <c r="C1102" s="512">
        <f>IF(D1051="","-",+C1101+1)</f>
        <v>2069</v>
      </c>
      <c r="D1102" s="477">
        <f t="shared" si="103"/>
        <v>0</v>
      </c>
      <c r="E1102" s="519">
        <f t="shared" si="104"/>
        <v>0</v>
      </c>
      <c r="F1102" s="519">
        <f t="shared" si="97"/>
        <v>0</v>
      </c>
      <c r="G1102" s="477">
        <f t="shared" si="98"/>
        <v>0</v>
      </c>
      <c r="H1102" s="513">
        <f>+J1052*G1102+E1102</f>
        <v>0</v>
      </c>
      <c r="I1102" s="520">
        <f>+J1053*G1102+E1102</f>
        <v>0</v>
      </c>
      <c r="J1102" s="516">
        <f t="shared" si="99"/>
        <v>0</v>
      </c>
      <c r="K1102" s="516"/>
      <c r="L1102" s="521"/>
      <c r="M1102" s="516">
        <f t="shared" si="100"/>
        <v>0</v>
      </c>
      <c r="N1102" s="521"/>
      <c r="O1102" s="516">
        <f t="shared" si="101"/>
        <v>0</v>
      </c>
      <c r="P1102" s="516">
        <f t="shared" si="102"/>
        <v>0</v>
      </c>
      <c r="Q1102" s="479"/>
    </row>
    <row r="1103" spans="3:17">
      <c r="C1103" s="512">
        <f>IF(D1051="","-",+C1102+1)</f>
        <v>2070</v>
      </c>
      <c r="D1103" s="477">
        <f t="shared" si="103"/>
        <v>0</v>
      </c>
      <c r="E1103" s="519">
        <f t="shared" si="104"/>
        <v>0</v>
      </c>
      <c r="F1103" s="519">
        <f t="shared" si="97"/>
        <v>0</v>
      </c>
      <c r="G1103" s="477">
        <f t="shared" si="98"/>
        <v>0</v>
      </c>
      <c r="H1103" s="513">
        <f>+J1052*G1103+E1103</f>
        <v>0</v>
      </c>
      <c r="I1103" s="520">
        <f>+J1053*G1103+E1103</f>
        <v>0</v>
      </c>
      <c r="J1103" s="516">
        <f t="shared" si="99"/>
        <v>0</v>
      </c>
      <c r="K1103" s="516"/>
      <c r="L1103" s="521"/>
      <c r="M1103" s="516">
        <f t="shared" si="100"/>
        <v>0</v>
      </c>
      <c r="N1103" s="521"/>
      <c r="O1103" s="516">
        <f t="shared" si="101"/>
        <v>0</v>
      </c>
      <c r="P1103" s="516">
        <f t="shared" si="102"/>
        <v>0</v>
      </c>
      <c r="Q1103" s="479"/>
    </row>
    <row r="1104" spans="3:17">
      <c r="C1104" s="512">
        <f>IF(D1051="","-",+C1103+1)</f>
        <v>2071</v>
      </c>
      <c r="D1104" s="477">
        <f t="shared" si="103"/>
        <v>0</v>
      </c>
      <c r="E1104" s="519">
        <f t="shared" si="104"/>
        <v>0</v>
      </c>
      <c r="F1104" s="519">
        <f t="shared" si="97"/>
        <v>0</v>
      </c>
      <c r="G1104" s="477">
        <f t="shared" si="98"/>
        <v>0</v>
      </c>
      <c r="H1104" s="513">
        <f>+J1052*G1104+E1104</f>
        <v>0</v>
      </c>
      <c r="I1104" s="520">
        <f>+J1053*G1104+E1104</f>
        <v>0</v>
      </c>
      <c r="J1104" s="516">
        <f t="shared" si="99"/>
        <v>0</v>
      </c>
      <c r="K1104" s="516"/>
      <c r="L1104" s="521"/>
      <c r="M1104" s="516">
        <f t="shared" si="100"/>
        <v>0</v>
      </c>
      <c r="N1104" s="521"/>
      <c r="O1104" s="516">
        <f t="shared" si="101"/>
        <v>0</v>
      </c>
      <c r="P1104" s="516">
        <f t="shared" si="102"/>
        <v>0</v>
      </c>
      <c r="Q1104" s="479"/>
    </row>
    <row r="1105" spans="3:17">
      <c r="C1105" s="512">
        <f>IF(D1051="","-",+C1104+1)</f>
        <v>2072</v>
      </c>
      <c r="D1105" s="477">
        <f t="shared" si="103"/>
        <v>0</v>
      </c>
      <c r="E1105" s="519">
        <f t="shared" si="104"/>
        <v>0</v>
      </c>
      <c r="F1105" s="519">
        <f t="shared" si="97"/>
        <v>0</v>
      </c>
      <c r="G1105" s="477">
        <f t="shared" si="98"/>
        <v>0</v>
      </c>
      <c r="H1105" s="513">
        <f>+J1052*G1105+E1105</f>
        <v>0</v>
      </c>
      <c r="I1105" s="520">
        <f>+J1053*G1105+E1105</f>
        <v>0</v>
      </c>
      <c r="J1105" s="516">
        <f t="shared" si="99"/>
        <v>0</v>
      </c>
      <c r="K1105" s="516"/>
      <c r="L1105" s="521"/>
      <c r="M1105" s="516">
        <f t="shared" si="100"/>
        <v>0</v>
      </c>
      <c r="N1105" s="521"/>
      <c r="O1105" s="516">
        <f t="shared" si="101"/>
        <v>0</v>
      </c>
      <c r="P1105" s="516">
        <f t="shared" si="102"/>
        <v>0</v>
      </c>
      <c r="Q1105" s="479"/>
    </row>
    <row r="1106" spans="3:17">
      <c r="C1106" s="512">
        <f>IF(D1051="","-",+C1105+1)</f>
        <v>2073</v>
      </c>
      <c r="D1106" s="477">
        <f t="shared" si="103"/>
        <v>0</v>
      </c>
      <c r="E1106" s="519">
        <f t="shared" si="104"/>
        <v>0</v>
      </c>
      <c r="F1106" s="519">
        <f t="shared" si="97"/>
        <v>0</v>
      </c>
      <c r="G1106" s="477">
        <f t="shared" si="98"/>
        <v>0</v>
      </c>
      <c r="H1106" s="513">
        <f>+J1052*G1106+E1106</f>
        <v>0</v>
      </c>
      <c r="I1106" s="520">
        <f>+J1053*G1106+E1106</f>
        <v>0</v>
      </c>
      <c r="J1106" s="516">
        <f t="shared" si="99"/>
        <v>0</v>
      </c>
      <c r="K1106" s="516"/>
      <c r="L1106" s="521"/>
      <c r="M1106" s="516">
        <f t="shared" si="100"/>
        <v>0</v>
      </c>
      <c r="N1106" s="521"/>
      <c r="O1106" s="516">
        <f t="shared" si="101"/>
        <v>0</v>
      </c>
      <c r="P1106" s="516">
        <f t="shared" si="102"/>
        <v>0</v>
      </c>
      <c r="Q1106" s="479"/>
    </row>
    <row r="1107" spans="3:17">
      <c r="C1107" s="512">
        <f>IF(D1051="","-",+C1106+1)</f>
        <v>2074</v>
      </c>
      <c r="D1107" s="477">
        <f t="shared" si="103"/>
        <v>0</v>
      </c>
      <c r="E1107" s="519">
        <f t="shared" si="104"/>
        <v>0</v>
      </c>
      <c r="F1107" s="519">
        <f t="shared" si="97"/>
        <v>0</v>
      </c>
      <c r="G1107" s="477">
        <f t="shared" si="98"/>
        <v>0</v>
      </c>
      <c r="H1107" s="513">
        <f>+J1052*G1107+E1107</f>
        <v>0</v>
      </c>
      <c r="I1107" s="520">
        <f>+J1053*G1107+E1107</f>
        <v>0</v>
      </c>
      <c r="J1107" s="516">
        <f t="shared" si="99"/>
        <v>0</v>
      </c>
      <c r="K1107" s="516"/>
      <c r="L1107" s="521"/>
      <c r="M1107" s="516">
        <f t="shared" si="100"/>
        <v>0</v>
      </c>
      <c r="N1107" s="521"/>
      <c r="O1107" s="516">
        <f t="shared" si="101"/>
        <v>0</v>
      </c>
      <c r="P1107" s="516">
        <f t="shared" si="102"/>
        <v>0</v>
      </c>
      <c r="Q1107" s="479"/>
    </row>
    <row r="1108" spans="3:17">
      <c r="C1108" s="512">
        <f>IF(D1051="","-",+C1107+1)</f>
        <v>2075</v>
      </c>
      <c r="D1108" s="477">
        <f t="shared" si="103"/>
        <v>0</v>
      </c>
      <c r="E1108" s="519">
        <f t="shared" si="104"/>
        <v>0</v>
      </c>
      <c r="F1108" s="519">
        <f t="shared" si="97"/>
        <v>0</v>
      </c>
      <c r="G1108" s="477">
        <f t="shared" si="98"/>
        <v>0</v>
      </c>
      <c r="H1108" s="513">
        <f>+J1052*G1108+E1108</f>
        <v>0</v>
      </c>
      <c r="I1108" s="520">
        <f>+J1053*G1108+E1108</f>
        <v>0</v>
      </c>
      <c r="J1108" s="516">
        <f t="shared" si="99"/>
        <v>0</v>
      </c>
      <c r="K1108" s="516"/>
      <c r="L1108" s="521"/>
      <c r="M1108" s="516">
        <f t="shared" si="100"/>
        <v>0</v>
      </c>
      <c r="N1108" s="521"/>
      <c r="O1108" s="516">
        <f t="shared" si="101"/>
        <v>0</v>
      </c>
      <c r="P1108" s="516">
        <f t="shared" si="102"/>
        <v>0</v>
      </c>
      <c r="Q1108" s="479"/>
    </row>
    <row r="1109" spans="3:17">
      <c r="C1109" s="512">
        <f>IF(D1051="","-",+C1108+1)</f>
        <v>2076</v>
      </c>
      <c r="D1109" s="477">
        <f t="shared" si="103"/>
        <v>0</v>
      </c>
      <c r="E1109" s="519">
        <f t="shared" si="104"/>
        <v>0</v>
      </c>
      <c r="F1109" s="519">
        <f t="shared" si="97"/>
        <v>0</v>
      </c>
      <c r="G1109" s="477">
        <f t="shared" si="98"/>
        <v>0</v>
      </c>
      <c r="H1109" s="513">
        <f>+J1052*G1109+E1109</f>
        <v>0</v>
      </c>
      <c r="I1109" s="520">
        <f>+J1053*G1109+E1109</f>
        <v>0</v>
      </c>
      <c r="J1109" s="516">
        <f t="shared" si="99"/>
        <v>0</v>
      </c>
      <c r="K1109" s="516"/>
      <c r="L1109" s="521"/>
      <c r="M1109" s="516">
        <f t="shared" si="100"/>
        <v>0</v>
      </c>
      <c r="N1109" s="521"/>
      <c r="O1109" s="516">
        <f t="shared" si="101"/>
        <v>0</v>
      </c>
      <c r="P1109" s="516">
        <f t="shared" si="102"/>
        <v>0</v>
      </c>
      <c r="Q1109" s="479"/>
    </row>
    <row r="1110" spans="3:17">
      <c r="C1110" s="512">
        <f>IF(D1051="","-",+C1109+1)</f>
        <v>2077</v>
      </c>
      <c r="D1110" s="477">
        <f t="shared" si="103"/>
        <v>0</v>
      </c>
      <c r="E1110" s="519">
        <f t="shared" si="104"/>
        <v>0</v>
      </c>
      <c r="F1110" s="519">
        <f t="shared" si="97"/>
        <v>0</v>
      </c>
      <c r="G1110" s="477">
        <f t="shared" si="98"/>
        <v>0</v>
      </c>
      <c r="H1110" s="513">
        <f>+J1052*G1110+E1110</f>
        <v>0</v>
      </c>
      <c r="I1110" s="520">
        <f>+J1053*G1110+E1110</f>
        <v>0</v>
      </c>
      <c r="J1110" s="516">
        <f t="shared" si="99"/>
        <v>0</v>
      </c>
      <c r="K1110" s="516"/>
      <c r="L1110" s="521"/>
      <c r="M1110" s="516">
        <f t="shared" si="100"/>
        <v>0</v>
      </c>
      <c r="N1110" s="521"/>
      <c r="O1110" s="516">
        <f t="shared" si="101"/>
        <v>0</v>
      </c>
      <c r="P1110" s="516">
        <f t="shared" si="102"/>
        <v>0</v>
      </c>
      <c r="Q1110" s="479"/>
    </row>
    <row r="1111" spans="3:17">
      <c r="C1111" s="512">
        <f>IF(D1051="","-",+C1110+1)</f>
        <v>2078</v>
      </c>
      <c r="D1111" s="477">
        <f t="shared" si="103"/>
        <v>0</v>
      </c>
      <c r="E1111" s="519">
        <f t="shared" si="104"/>
        <v>0</v>
      </c>
      <c r="F1111" s="519">
        <f t="shared" si="97"/>
        <v>0</v>
      </c>
      <c r="G1111" s="477">
        <f t="shared" si="98"/>
        <v>0</v>
      </c>
      <c r="H1111" s="513">
        <f>+J1052*G1111+E1111</f>
        <v>0</v>
      </c>
      <c r="I1111" s="520">
        <f>+J1053*G1111+E1111</f>
        <v>0</v>
      </c>
      <c r="J1111" s="516">
        <f t="shared" si="99"/>
        <v>0</v>
      </c>
      <c r="K1111" s="516"/>
      <c r="L1111" s="521"/>
      <c r="M1111" s="516">
        <f t="shared" si="100"/>
        <v>0</v>
      </c>
      <c r="N1111" s="521"/>
      <c r="O1111" s="516">
        <f t="shared" si="101"/>
        <v>0</v>
      </c>
      <c r="P1111" s="516">
        <f t="shared" si="102"/>
        <v>0</v>
      </c>
      <c r="Q1111" s="479"/>
    </row>
    <row r="1112" spans="3:17">
      <c r="C1112" s="512">
        <f>IF(D1051="","-",+C1111+1)</f>
        <v>2079</v>
      </c>
      <c r="D1112" s="477">
        <f t="shared" si="103"/>
        <v>0</v>
      </c>
      <c r="E1112" s="519">
        <f t="shared" si="104"/>
        <v>0</v>
      </c>
      <c r="F1112" s="519">
        <f t="shared" si="97"/>
        <v>0</v>
      </c>
      <c r="G1112" s="477">
        <f t="shared" si="98"/>
        <v>0</v>
      </c>
      <c r="H1112" s="513">
        <f>+J1052*G1112+E1112</f>
        <v>0</v>
      </c>
      <c r="I1112" s="520">
        <f>+J1053*G1112+E1112</f>
        <v>0</v>
      </c>
      <c r="J1112" s="516">
        <f t="shared" si="99"/>
        <v>0</v>
      </c>
      <c r="K1112" s="516"/>
      <c r="L1112" s="521"/>
      <c r="M1112" s="516">
        <f t="shared" si="100"/>
        <v>0</v>
      </c>
      <c r="N1112" s="521"/>
      <c r="O1112" s="516">
        <f t="shared" si="101"/>
        <v>0</v>
      </c>
      <c r="P1112" s="516">
        <f t="shared" si="102"/>
        <v>0</v>
      </c>
      <c r="Q1112" s="479"/>
    </row>
    <row r="1113" spans="3:17">
      <c r="C1113" s="512">
        <f>IF(D1051="","-",+C1112+1)</f>
        <v>2080</v>
      </c>
      <c r="D1113" s="477">
        <f t="shared" si="103"/>
        <v>0</v>
      </c>
      <c r="E1113" s="519">
        <f t="shared" si="104"/>
        <v>0</v>
      </c>
      <c r="F1113" s="519">
        <f t="shared" si="97"/>
        <v>0</v>
      </c>
      <c r="G1113" s="477">
        <f t="shared" si="98"/>
        <v>0</v>
      </c>
      <c r="H1113" s="513">
        <f>+J1052*G1113+E1113</f>
        <v>0</v>
      </c>
      <c r="I1113" s="520">
        <f>+J1053*G1113+E1113</f>
        <v>0</v>
      </c>
      <c r="J1113" s="516">
        <f t="shared" si="99"/>
        <v>0</v>
      </c>
      <c r="K1113" s="516"/>
      <c r="L1113" s="521"/>
      <c r="M1113" s="516">
        <f t="shared" si="100"/>
        <v>0</v>
      </c>
      <c r="N1113" s="521"/>
      <c r="O1113" s="516">
        <f t="shared" si="101"/>
        <v>0</v>
      </c>
      <c r="P1113" s="516">
        <f t="shared" si="102"/>
        <v>0</v>
      </c>
      <c r="Q1113" s="479"/>
    </row>
    <row r="1114" spans="3:17">
      <c r="C1114" s="512">
        <f>IF(D1051="","-",+C1113+1)</f>
        <v>2081</v>
      </c>
      <c r="D1114" s="477">
        <f t="shared" si="103"/>
        <v>0</v>
      </c>
      <c r="E1114" s="519">
        <f t="shared" si="104"/>
        <v>0</v>
      </c>
      <c r="F1114" s="519">
        <f t="shared" si="97"/>
        <v>0</v>
      </c>
      <c r="G1114" s="477">
        <f t="shared" si="98"/>
        <v>0</v>
      </c>
      <c r="H1114" s="513">
        <f>+J1052*G1114+E1114</f>
        <v>0</v>
      </c>
      <c r="I1114" s="520">
        <f>+J1053*G1114+E1114</f>
        <v>0</v>
      </c>
      <c r="J1114" s="516">
        <f t="shared" si="99"/>
        <v>0</v>
      </c>
      <c r="K1114" s="516"/>
      <c r="L1114" s="521"/>
      <c r="M1114" s="516">
        <f t="shared" si="100"/>
        <v>0</v>
      </c>
      <c r="N1114" s="521"/>
      <c r="O1114" s="516">
        <f t="shared" si="101"/>
        <v>0</v>
      </c>
      <c r="P1114" s="516">
        <f t="shared" si="102"/>
        <v>0</v>
      </c>
      <c r="Q1114" s="479"/>
    </row>
    <row r="1115" spans="3:17">
      <c r="C1115" s="512">
        <f>IF(D1051="","-",+C1114+1)</f>
        <v>2082</v>
      </c>
      <c r="D1115" s="477">
        <f t="shared" si="103"/>
        <v>0</v>
      </c>
      <c r="E1115" s="519">
        <f t="shared" si="104"/>
        <v>0</v>
      </c>
      <c r="F1115" s="519">
        <f t="shared" si="97"/>
        <v>0</v>
      </c>
      <c r="G1115" s="477">
        <f t="shared" si="98"/>
        <v>0</v>
      </c>
      <c r="H1115" s="513">
        <f>+J1052*G1115+E1115</f>
        <v>0</v>
      </c>
      <c r="I1115" s="520">
        <f>+J1053*G1115+E1115</f>
        <v>0</v>
      </c>
      <c r="J1115" s="516">
        <f t="shared" si="99"/>
        <v>0</v>
      </c>
      <c r="K1115" s="516"/>
      <c r="L1115" s="521"/>
      <c r="M1115" s="516">
        <f t="shared" si="100"/>
        <v>0</v>
      </c>
      <c r="N1115" s="521"/>
      <c r="O1115" s="516">
        <f t="shared" si="101"/>
        <v>0</v>
      </c>
      <c r="P1115" s="516">
        <f t="shared" si="102"/>
        <v>0</v>
      </c>
      <c r="Q1115" s="479"/>
    </row>
    <row r="1116" spans="3:17" ht="13.5" thickBot="1">
      <c r="C1116" s="523">
        <f>IF(D1051="","-",+C1115+1)</f>
        <v>2083</v>
      </c>
      <c r="D1116" s="524">
        <f t="shared" si="103"/>
        <v>0</v>
      </c>
      <c r="E1116" s="519">
        <f t="shared" si="104"/>
        <v>0</v>
      </c>
      <c r="F1116" s="525">
        <f t="shared" si="97"/>
        <v>0</v>
      </c>
      <c r="G1116" s="524">
        <f t="shared" si="98"/>
        <v>0</v>
      </c>
      <c r="H1116" s="526">
        <f>+J1052*G1116+E1116</f>
        <v>0</v>
      </c>
      <c r="I1116" s="526">
        <f>+J1053*G1116+E1116</f>
        <v>0</v>
      </c>
      <c r="J1116" s="527">
        <f t="shared" si="99"/>
        <v>0</v>
      </c>
      <c r="K1116" s="516"/>
      <c r="L1116" s="528"/>
      <c r="M1116" s="527">
        <f t="shared" si="100"/>
        <v>0</v>
      </c>
      <c r="N1116" s="528"/>
      <c r="O1116" s="527">
        <f t="shared" si="101"/>
        <v>0</v>
      </c>
      <c r="P1116" s="527">
        <f t="shared" si="102"/>
        <v>0</v>
      </c>
      <c r="Q1116" s="479"/>
    </row>
    <row r="1117" spans="3:17">
      <c r="C1117" s="477" t="s">
        <v>289</v>
      </c>
      <c r="D1117" s="475"/>
      <c r="E1117" s="475">
        <f>SUM(E1057:E1116)</f>
        <v>2542896.3300000005</v>
      </c>
      <c r="F1117" s="475"/>
      <c r="G1117" s="475"/>
      <c r="H1117" s="475">
        <f>SUM(H1057:H1116)</f>
        <v>8027854.1972646201</v>
      </c>
      <c r="I1117" s="475">
        <f>SUM(I1057:I1116)</f>
        <v>8027854.1972646201</v>
      </c>
      <c r="J1117" s="475">
        <f>SUM(J1057:J1116)</f>
        <v>0</v>
      </c>
      <c r="K1117" s="475"/>
      <c r="L1117" s="475"/>
      <c r="M1117" s="475"/>
      <c r="N1117" s="475"/>
      <c r="O1117" s="475"/>
      <c r="Q1117" s="475"/>
    </row>
    <row r="1118" spans="3:17">
      <c r="D1118" s="82"/>
      <c r="E1118" s="4"/>
      <c r="F1118" s="4"/>
      <c r="G1118" s="4"/>
      <c r="H1118" s="4"/>
      <c r="I1118" s="460"/>
      <c r="J1118" s="460"/>
      <c r="K1118" s="475"/>
      <c r="L1118" s="460"/>
      <c r="M1118" s="460"/>
      <c r="N1118" s="460"/>
      <c r="O1118" s="460"/>
      <c r="Q1118" s="475"/>
    </row>
    <row r="1119" spans="3:17">
      <c r="C1119" s="4" t="s">
        <v>596</v>
      </c>
      <c r="D1119" s="82"/>
      <c r="E1119" s="4"/>
      <c r="F1119" s="4"/>
      <c r="G1119" s="4"/>
      <c r="H1119" s="4"/>
      <c r="I1119" s="460"/>
      <c r="J1119" s="460"/>
      <c r="K1119" s="475"/>
      <c r="L1119" s="460"/>
      <c r="M1119" s="460"/>
      <c r="N1119" s="460"/>
      <c r="O1119" s="460"/>
      <c r="Q1119" s="475"/>
    </row>
    <row r="1120" spans="3:17">
      <c r="D1120" s="82"/>
      <c r="E1120" s="4"/>
      <c r="F1120" s="4"/>
      <c r="G1120" s="4"/>
      <c r="H1120" s="4"/>
      <c r="I1120" s="460"/>
      <c r="J1120" s="460"/>
      <c r="K1120" s="475"/>
      <c r="L1120" s="460"/>
      <c r="M1120" s="460"/>
      <c r="N1120" s="460"/>
      <c r="O1120" s="460"/>
      <c r="Q1120" s="475"/>
    </row>
    <row r="1121" spans="1:17">
      <c r="C1121" s="4" t="s">
        <v>597</v>
      </c>
      <c r="D1121" s="477"/>
      <c r="E1121" s="477"/>
      <c r="F1121" s="477"/>
      <c r="G1121" s="477"/>
      <c r="H1121" s="475"/>
      <c r="I1121" s="475"/>
      <c r="J1121" s="479"/>
      <c r="K1121" s="479"/>
      <c r="L1121" s="479"/>
      <c r="M1121" s="479"/>
      <c r="N1121" s="479"/>
      <c r="O1121" s="479"/>
      <c r="Q1121" s="479"/>
    </row>
    <row r="1122" spans="1:17">
      <c r="C1122" s="4" t="s">
        <v>477</v>
      </c>
      <c r="D1122" s="477"/>
      <c r="E1122" s="477"/>
      <c r="F1122" s="477"/>
      <c r="G1122" s="477"/>
      <c r="H1122" s="475"/>
      <c r="I1122" s="475"/>
      <c r="J1122" s="479"/>
      <c r="K1122" s="479"/>
      <c r="L1122" s="479"/>
      <c r="M1122" s="479"/>
      <c r="N1122" s="479"/>
      <c r="O1122" s="479"/>
      <c r="Q1122" s="479"/>
    </row>
    <row r="1123" spans="1:17">
      <c r="C1123" s="4" t="s">
        <v>290</v>
      </c>
      <c r="D1123" s="477"/>
      <c r="E1123" s="477"/>
      <c r="F1123" s="477"/>
      <c r="G1123" s="477"/>
      <c r="H1123" s="475"/>
      <c r="I1123" s="475"/>
      <c r="J1123" s="479"/>
      <c r="K1123" s="479"/>
      <c r="L1123" s="479"/>
      <c r="M1123" s="479"/>
      <c r="N1123" s="479"/>
      <c r="O1123" s="479"/>
      <c r="Q1123" s="479"/>
    </row>
    <row r="1124" spans="1:17" ht="20.25">
      <c r="A1124" s="419" t="s">
        <v>763</v>
      </c>
      <c r="B1124" s="4"/>
      <c r="C1124" s="4"/>
      <c r="D1124" s="82"/>
      <c r="E1124" s="4"/>
      <c r="F1124" s="84"/>
      <c r="G1124" s="84"/>
      <c r="H1124" s="4"/>
      <c r="I1124" s="460"/>
      <c r="L1124" s="11"/>
      <c r="M1124" s="11"/>
      <c r="N1124" s="11"/>
      <c r="O1124" s="11" t="str">
        <f>"Page "&amp;SUM(Q$3:Q1124)&amp;" of "</f>
        <v xml:space="preserve">Page 15 of </v>
      </c>
      <c r="P1124" s="420">
        <f>COUNT(Q$8:Q$58123)</f>
        <v>15</v>
      </c>
    </row>
    <row r="1125" spans="1:17">
      <c r="B1125" s="4"/>
      <c r="C1125" s="4"/>
      <c r="D1125" s="82"/>
      <c r="E1125" s="4"/>
      <c r="F1125" s="4"/>
      <c r="G1125" s="4"/>
      <c r="H1125" s="4"/>
      <c r="I1125" s="460"/>
      <c r="J1125" s="4"/>
      <c r="K1125" s="4"/>
    </row>
    <row r="1126" spans="1:17" ht="18">
      <c r="B1126" s="421" t="s">
        <v>175</v>
      </c>
      <c r="C1126" s="480" t="s">
        <v>291</v>
      </c>
      <c r="D1126" s="82"/>
      <c r="E1126" s="4"/>
      <c r="F1126" s="4"/>
      <c r="G1126" s="4"/>
      <c r="H1126" s="4"/>
      <c r="I1126" s="460"/>
      <c r="J1126" s="460"/>
      <c r="K1126" s="475"/>
      <c r="L1126" s="460"/>
      <c r="M1126" s="460"/>
      <c r="N1126" s="460"/>
      <c r="O1126" s="460"/>
    </row>
    <row r="1127" spans="1:17" ht="18.75">
      <c r="B1127" s="421"/>
      <c r="C1127" s="13"/>
      <c r="D1127" s="82"/>
      <c r="E1127" s="4"/>
      <c r="F1127" s="4"/>
      <c r="G1127" s="4"/>
      <c r="H1127" s="4"/>
      <c r="I1127" s="460"/>
      <c r="J1127" s="460"/>
      <c r="K1127" s="475"/>
      <c r="L1127" s="460"/>
      <c r="M1127" s="460"/>
      <c r="N1127" s="460"/>
      <c r="O1127" s="460"/>
    </row>
    <row r="1128" spans="1:17" ht="18.75">
      <c r="B1128" s="421"/>
      <c r="C1128" s="13" t="s">
        <v>292</v>
      </c>
      <c r="D1128" s="82"/>
      <c r="E1128" s="4"/>
      <c r="F1128" s="4"/>
      <c r="G1128" s="4"/>
      <c r="H1128" s="4"/>
      <c r="I1128" s="460"/>
      <c r="J1128" s="460"/>
      <c r="K1128" s="475"/>
      <c r="L1128" s="460"/>
      <c r="M1128" s="460"/>
      <c r="N1128" s="460"/>
      <c r="O1128" s="460"/>
    </row>
    <row r="1129" spans="1:17" ht="15.75" thickBot="1">
      <c r="C1129" s="254"/>
      <c r="D1129" s="82"/>
      <c r="E1129" s="4"/>
      <c r="F1129" s="4"/>
      <c r="G1129" s="4"/>
      <c r="H1129" s="4"/>
      <c r="I1129" s="460"/>
      <c r="J1129" s="460"/>
      <c r="K1129" s="475"/>
      <c r="L1129" s="460"/>
      <c r="M1129" s="460"/>
      <c r="N1129" s="460"/>
      <c r="O1129" s="460"/>
    </row>
    <row r="1130" spans="1:17" ht="15.75">
      <c r="C1130" s="422" t="s">
        <v>293</v>
      </c>
      <c r="D1130" s="82"/>
      <c r="E1130" s="4"/>
      <c r="F1130" s="4"/>
      <c r="G1130" s="4"/>
      <c r="H1130" s="645"/>
      <c r="I1130" s="4" t="s">
        <v>272</v>
      </c>
      <c r="J1130" s="4"/>
      <c r="K1130" s="4"/>
      <c r="L1130" s="548">
        <f>+J1136</f>
        <v>2025</v>
      </c>
      <c r="M1130" s="532" t="s">
        <v>255</v>
      </c>
      <c r="N1130" s="532" t="s">
        <v>256</v>
      </c>
      <c r="O1130" s="533" t="s">
        <v>257</v>
      </c>
    </row>
    <row r="1131" spans="1:17" ht="15.75">
      <c r="C1131" s="422"/>
      <c r="D1131" s="82"/>
      <c r="E1131" s="4"/>
      <c r="F1131" s="4"/>
      <c r="H1131" s="4"/>
      <c r="I1131" s="484"/>
      <c r="J1131" s="484"/>
      <c r="K1131" s="485"/>
      <c r="L1131" s="549" t="s">
        <v>456</v>
      </c>
      <c r="M1131" s="550">
        <f>VLOOKUP(J1136,C1143:P1202,10)</f>
        <v>506095.36974001635</v>
      </c>
      <c r="N1131" s="550">
        <f>VLOOKUP(J1136,C1143:P1202,12)</f>
        <v>506095.36974001635</v>
      </c>
      <c r="O1131" s="551">
        <f>+N1131-M1131</f>
        <v>0</v>
      </c>
    </row>
    <row r="1132" spans="1:17">
      <c r="C1132" s="487" t="s">
        <v>294</v>
      </c>
      <c r="D1132" s="1274" t="s">
        <v>1186</v>
      </c>
      <c r="E1132" s="1275"/>
      <c r="F1132" s="1275"/>
      <c r="G1132" s="1275"/>
      <c r="H1132" s="1275"/>
      <c r="I1132" s="1275"/>
      <c r="J1132" s="460"/>
      <c r="K1132" s="475"/>
      <c r="L1132" s="549" t="s">
        <v>457</v>
      </c>
      <c r="M1132" s="552">
        <f>VLOOKUP(J1136,C1143:P1202,6)</f>
        <v>450172.77211116673</v>
      </c>
      <c r="N1132" s="552">
        <f>VLOOKUP(J1136,C1143:P1202,7)</f>
        <v>450172.77211116673</v>
      </c>
      <c r="O1132" s="553">
        <f>+N1132-M1132</f>
        <v>0</v>
      </c>
    </row>
    <row r="1133" spans="1:17" ht="13.5" thickBot="1">
      <c r="C1133" s="489"/>
      <c r="D1133" s="1275"/>
      <c r="E1133" s="1275"/>
      <c r="F1133" s="1275"/>
      <c r="G1133" s="1275"/>
      <c r="H1133" s="1275"/>
      <c r="I1133" s="1275"/>
      <c r="J1133" s="460"/>
      <c r="K1133" s="475"/>
      <c r="L1133" s="499" t="s">
        <v>458</v>
      </c>
      <c r="M1133" s="554">
        <f>+M1132-M1131</f>
        <v>-55922.597628849617</v>
      </c>
      <c r="N1133" s="554">
        <f>+N1132-N1131</f>
        <v>-55922.597628849617</v>
      </c>
      <c r="O1133" s="555">
        <f>+O1132-O1131</f>
        <v>0</v>
      </c>
    </row>
    <row r="1134" spans="1:17" ht="13.5" thickBot="1">
      <c r="C1134" s="489"/>
      <c r="D1134" s="4"/>
      <c r="E1134" s="490"/>
      <c r="F1134" s="490"/>
      <c r="G1134" s="490"/>
      <c r="H1134" s="490"/>
      <c r="I1134" s="490"/>
      <c r="J1134" s="490"/>
      <c r="K1134" s="490"/>
      <c r="L1134" s="490"/>
      <c r="M1134" s="490"/>
      <c r="N1134" s="490"/>
      <c r="O1134" s="490"/>
    </row>
    <row r="1135" spans="1:17" ht="13.5" thickBot="1">
      <c r="C1135" s="491" t="s">
        <v>295</v>
      </c>
      <c r="D1135" s="492"/>
      <c r="E1135" s="492"/>
      <c r="F1135" s="492"/>
      <c r="G1135" s="492"/>
      <c r="H1135" s="492"/>
      <c r="I1135" s="492"/>
      <c r="J1135" s="492"/>
    </row>
    <row r="1136" spans="1:17" ht="15">
      <c r="A1136" s="978"/>
      <c r="C1136" s="494" t="s">
        <v>273</v>
      </c>
      <c r="D1136" s="979">
        <v>3594947.8099999996</v>
      </c>
      <c r="E1136" s="4" t="s">
        <v>274</v>
      </c>
      <c r="H1136" s="82"/>
      <c r="I1136" s="82"/>
      <c r="J1136" s="495">
        <f>$J$95</f>
        <v>2025</v>
      </c>
      <c r="K1136" s="138"/>
      <c r="L1136" s="1284" t="s">
        <v>275</v>
      </c>
      <c r="M1136" s="1284"/>
      <c r="N1136" s="1284"/>
      <c r="O1136" s="1284"/>
    </row>
    <row r="1137" spans="1:16">
      <c r="A1137" s="978"/>
      <c r="C1137" s="494" t="s">
        <v>276</v>
      </c>
      <c r="D1137" s="647">
        <v>2021</v>
      </c>
      <c r="E1137" s="494" t="s">
        <v>277</v>
      </c>
      <c r="F1137" s="82"/>
      <c r="G1137" s="82"/>
      <c r="I1137"/>
      <c r="J1137" s="650">
        <v>0</v>
      </c>
      <c r="K1137" s="496"/>
      <c r="L1137" s="475" t="s">
        <v>476</v>
      </c>
    </row>
    <row r="1138" spans="1:16">
      <c r="A1138" s="978"/>
      <c r="C1138" s="494" t="s">
        <v>278</v>
      </c>
      <c r="D1138" s="946">
        <v>4</v>
      </c>
      <c r="E1138" s="494" t="s">
        <v>279</v>
      </c>
      <c r="F1138" s="82"/>
      <c r="G1138" s="82"/>
      <c r="I1138"/>
      <c r="J1138" s="497">
        <f>$F$70</f>
        <v>0.11108872081308177</v>
      </c>
      <c r="K1138" s="84"/>
      <c r="L1138" s="4" t="str">
        <f>"          INPUT TRUE-UP ARR (WITH &amp; WITHOUT INCENTIVES) FROM EACH PRIOR YEAR"</f>
        <v xml:space="preserve">          INPUT TRUE-UP ARR (WITH &amp; WITHOUT INCENTIVES) FROM EACH PRIOR YEAR</v>
      </c>
    </row>
    <row r="1139" spans="1:16">
      <c r="A1139" s="978"/>
      <c r="C1139" s="494" t="s">
        <v>280</v>
      </c>
      <c r="D1139" s="498">
        <f>$H$79</f>
        <v>38</v>
      </c>
      <c r="E1139" s="494" t="s">
        <v>281</v>
      </c>
      <c r="F1139" s="82"/>
      <c r="G1139" s="82"/>
      <c r="I1139"/>
      <c r="J1139" s="497">
        <f>IF(H1130="",J1138,$F$69)</f>
        <v>0.11108872081308177</v>
      </c>
      <c r="K1139" s="84"/>
      <c r="L1139" s="4" t="s">
        <v>363</v>
      </c>
      <c r="M1139" s="84"/>
      <c r="N1139" s="84"/>
      <c r="O1139" s="84"/>
    </row>
    <row r="1140" spans="1:16" ht="13.5" thickBot="1">
      <c r="A1140" s="978"/>
      <c r="C1140" s="494" t="s">
        <v>282</v>
      </c>
      <c r="D1140" s="649" t="s">
        <v>930</v>
      </c>
      <c r="E1140" s="499" t="s">
        <v>283</v>
      </c>
      <c r="F1140" s="500"/>
      <c r="G1140" s="500"/>
      <c r="H1140" s="501"/>
      <c r="I1140" s="501"/>
      <c r="J1140" s="488">
        <f>IF(D1136=0,0,D1136/D1139)</f>
        <v>94603.889736842088</v>
      </c>
      <c r="K1140" s="475"/>
      <c r="L1140" s="475" t="s">
        <v>364</v>
      </c>
      <c r="M1140" s="475"/>
      <c r="N1140" s="475"/>
      <c r="O1140" s="475"/>
    </row>
    <row r="1141" spans="1:16" ht="38.25">
      <c r="A1141" s="12"/>
      <c r="B1141" s="12"/>
      <c r="C1141" s="502" t="s">
        <v>273</v>
      </c>
      <c r="D1141" s="503" t="s">
        <v>284</v>
      </c>
      <c r="E1141" s="504" t="s">
        <v>285</v>
      </c>
      <c r="F1141" s="503" t="s">
        <v>286</v>
      </c>
      <c r="G1141" s="503" t="s">
        <v>459</v>
      </c>
      <c r="H1141" s="504" t="s">
        <v>357</v>
      </c>
      <c r="I1141" s="505" t="s">
        <v>357</v>
      </c>
      <c r="J1141" s="502" t="s">
        <v>296</v>
      </c>
      <c r="K1141" s="506"/>
      <c r="L1141" s="504" t="s">
        <v>359</v>
      </c>
      <c r="M1141" s="504" t="s">
        <v>365</v>
      </c>
      <c r="N1141" s="504" t="s">
        <v>359</v>
      </c>
      <c r="O1141" s="504" t="s">
        <v>367</v>
      </c>
      <c r="P1141" s="504" t="s">
        <v>287</v>
      </c>
    </row>
    <row r="1142" spans="1:16" ht="13.5" thickBot="1">
      <c r="C1142" s="507" t="s">
        <v>178</v>
      </c>
      <c r="D1142" s="508" t="s">
        <v>179</v>
      </c>
      <c r="E1142" s="507" t="s">
        <v>38</v>
      </c>
      <c r="F1142" s="508" t="s">
        <v>179</v>
      </c>
      <c r="G1142" s="508" t="s">
        <v>179</v>
      </c>
      <c r="H1142" s="509" t="s">
        <v>299</v>
      </c>
      <c r="I1142" s="510" t="s">
        <v>301</v>
      </c>
      <c r="J1142" s="507" t="s">
        <v>390</v>
      </c>
      <c r="K1142" s="511"/>
      <c r="L1142" s="509" t="s">
        <v>288</v>
      </c>
      <c r="M1142" s="509" t="s">
        <v>288</v>
      </c>
      <c r="N1142" s="509" t="s">
        <v>468</v>
      </c>
      <c r="O1142" s="509" t="s">
        <v>468</v>
      </c>
      <c r="P1142" s="509" t="s">
        <v>468</v>
      </c>
    </row>
    <row r="1143" spans="1:16">
      <c r="C1143" s="512">
        <f>IF(D1137= "","-",D1137)</f>
        <v>2021</v>
      </c>
      <c r="D1143" s="477">
        <f>+D1136</f>
        <v>3594947.8099999996</v>
      </c>
      <c r="E1143" s="513">
        <f>+J1140/12*(12-D1138)</f>
        <v>63069.259824561392</v>
      </c>
      <c r="F1143" s="556">
        <f t="shared" ref="F1143:F1202" si="105">+D1143-E1143</f>
        <v>3531878.5501754382</v>
      </c>
      <c r="G1143" s="477">
        <f t="shared" ref="G1143:G1202" si="106">+(D1143+F1143)/2</f>
        <v>3563413.1800877191</v>
      </c>
      <c r="H1143" s="514">
        <f>+J1138*G1143+E1143</f>
        <v>458924.27172898187</v>
      </c>
      <c r="I1143" s="515">
        <f>+J1139*G1143+E1143</f>
        <v>458924.27172898187</v>
      </c>
      <c r="J1143" s="516">
        <f t="shared" ref="J1143:J1202" si="107">+I1143-H1143</f>
        <v>0</v>
      </c>
      <c r="K1143" s="516"/>
      <c r="L1143" s="517">
        <v>0</v>
      </c>
      <c r="M1143" s="557">
        <f t="shared" ref="M1143:M1202" si="108">IF(L1143&lt;&gt;0,+H1143-L1143,0)</f>
        <v>0</v>
      </c>
      <c r="N1143" s="517">
        <v>0</v>
      </c>
      <c r="O1143" s="557">
        <f t="shared" ref="O1143:O1202" si="109">IF(N1143&lt;&gt;0,+I1143-N1143,0)</f>
        <v>0</v>
      </c>
      <c r="P1143" s="557">
        <f t="shared" ref="P1143:P1202" si="110">+O1143-M1143</f>
        <v>0</v>
      </c>
    </row>
    <row r="1144" spans="1:16">
      <c r="C1144" s="512">
        <f>IF(D1137="","-",+C1143+1)</f>
        <v>2022</v>
      </c>
      <c r="D1144" s="960">
        <f t="shared" ref="D1144:D1202" si="111">F1143</f>
        <v>3531878.5501754382</v>
      </c>
      <c r="E1144" s="519">
        <f>IF(D1144&gt;$J$1140,$J$1140,D1144)</f>
        <v>94603.889736842088</v>
      </c>
      <c r="F1144" s="519">
        <f t="shared" si="105"/>
        <v>3437274.6604385963</v>
      </c>
      <c r="G1144" s="477">
        <f t="shared" si="106"/>
        <v>3484576.6053070175</v>
      </c>
      <c r="H1144" s="513">
        <f>+J1138*G1144+E1144</f>
        <v>481701.04739558959</v>
      </c>
      <c r="I1144" s="520">
        <f>+J1139*G1144+E1144</f>
        <v>481701.04739558959</v>
      </c>
      <c r="J1144" s="516">
        <f t="shared" si="107"/>
        <v>0</v>
      </c>
      <c r="K1144" s="516"/>
      <c r="L1144" s="521">
        <v>0</v>
      </c>
      <c r="M1144" s="516">
        <f t="shared" si="108"/>
        <v>0</v>
      </c>
      <c r="N1144" s="521">
        <v>0</v>
      </c>
      <c r="O1144" s="516">
        <f t="shared" si="109"/>
        <v>0</v>
      </c>
      <c r="P1144" s="516">
        <f t="shared" si="110"/>
        <v>0</v>
      </c>
    </row>
    <row r="1145" spans="1:16">
      <c r="C1145" s="512">
        <f>IF(D1137="","-",+C1144+1)</f>
        <v>2023</v>
      </c>
      <c r="D1145" s="960">
        <f t="shared" si="111"/>
        <v>3437274.6604385963</v>
      </c>
      <c r="E1145" s="519">
        <f t="shared" ref="E1145:E1202" si="112">IF(D1145&gt;$J$1140,$J$1140,D1145)</f>
        <v>94603.889736842088</v>
      </c>
      <c r="F1145" s="519">
        <f t="shared" si="105"/>
        <v>3342670.7707017544</v>
      </c>
      <c r="G1145" s="477">
        <f t="shared" si="106"/>
        <v>3389972.7155701751</v>
      </c>
      <c r="H1145" s="513">
        <f>+J1138*G1145+E1145</f>
        <v>471191.62230078189</v>
      </c>
      <c r="I1145" s="520">
        <f>+J1139*G1145+E1145</f>
        <v>471191.62230078189</v>
      </c>
      <c r="J1145" s="516">
        <f t="shared" si="107"/>
        <v>0</v>
      </c>
      <c r="K1145" s="516"/>
      <c r="L1145" s="521">
        <v>0</v>
      </c>
      <c r="M1145" s="516">
        <f t="shared" si="108"/>
        <v>0</v>
      </c>
      <c r="N1145" s="521">
        <v>0</v>
      </c>
      <c r="O1145" s="516">
        <f t="shared" si="109"/>
        <v>0</v>
      </c>
      <c r="P1145" s="516">
        <f t="shared" si="110"/>
        <v>0</v>
      </c>
    </row>
    <row r="1146" spans="1:16">
      <c r="C1146" s="512">
        <f>IF(D1137="","-",+C1145+1)</f>
        <v>2024</v>
      </c>
      <c r="D1146" s="477">
        <f t="shared" si="111"/>
        <v>3342670.7707017544</v>
      </c>
      <c r="E1146" s="519">
        <f t="shared" si="112"/>
        <v>94603.889736842088</v>
      </c>
      <c r="F1146" s="519">
        <f t="shared" si="105"/>
        <v>3248066.8809649125</v>
      </c>
      <c r="G1146" s="477">
        <f t="shared" si="106"/>
        <v>3295368.8258333337</v>
      </c>
      <c r="H1146" s="513">
        <f>+J1138*G1146+E1146</f>
        <v>460682.19720597437</v>
      </c>
      <c r="I1146" s="520">
        <f>+J1139*G1146+E1146</f>
        <v>460682.19720597437</v>
      </c>
      <c r="J1146" s="516">
        <f t="shared" si="107"/>
        <v>0</v>
      </c>
      <c r="K1146" s="516"/>
      <c r="L1146" s="521">
        <v>1455515.2855900507</v>
      </c>
      <c r="M1146" s="516">
        <f t="shared" si="108"/>
        <v>-994833.08838407637</v>
      </c>
      <c r="N1146" s="521">
        <v>1455515.2855900507</v>
      </c>
      <c r="O1146" s="516">
        <f t="shared" si="109"/>
        <v>-994833.08838407637</v>
      </c>
      <c r="P1146" s="516">
        <f t="shared" si="110"/>
        <v>0</v>
      </c>
    </row>
    <row r="1147" spans="1:16">
      <c r="C1147" s="512">
        <f>IF(D1137="","-",+C1146+1)</f>
        <v>2025</v>
      </c>
      <c r="D1147" s="477">
        <f t="shared" si="111"/>
        <v>3248066.8809649125</v>
      </c>
      <c r="E1147" s="519">
        <f t="shared" si="112"/>
        <v>94603.889736842088</v>
      </c>
      <c r="F1147" s="519">
        <f t="shared" si="105"/>
        <v>3153462.9912280706</v>
      </c>
      <c r="G1147" s="477">
        <f t="shared" si="106"/>
        <v>3200764.9360964913</v>
      </c>
      <c r="H1147" s="513">
        <f>+J1138*G1147+E1147</f>
        <v>450172.77211116673</v>
      </c>
      <c r="I1147" s="520">
        <f>+J1139*G1147+E1147</f>
        <v>450172.77211116673</v>
      </c>
      <c r="J1147" s="516">
        <f t="shared" si="107"/>
        <v>0</v>
      </c>
      <c r="K1147" s="516"/>
      <c r="L1147" s="521">
        <v>506095.36974001635</v>
      </c>
      <c r="M1147" s="516">
        <f t="shared" si="108"/>
        <v>-55922.597628849617</v>
      </c>
      <c r="N1147" s="521">
        <v>506095.36974001635</v>
      </c>
      <c r="O1147" s="516">
        <f t="shared" si="109"/>
        <v>-55922.597628849617</v>
      </c>
      <c r="P1147" s="516">
        <f t="shared" si="110"/>
        <v>0</v>
      </c>
    </row>
    <row r="1148" spans="1:16">
      <c r="C1148" s="512">
        <f>IF(D1137="","-",+C1147+1)</f>
        <v>2026</v>
      </c>
      <c r="D1148" s="477">
        <f t="shared" si="111"/>
        <v>3153462.9912280706</v>
      </c>
      <c r="E1148" s="519">
        <f t="shared" si="112"/>
        <v>94603.889736842088</v>
      </c>
      <c r="F1148" s="519">
        <f t="shared" si="105"/>
        <v>3058859.1014912287</v>
      </c>
      <c r="G1148" s="477">
        <f t="shared" si="106"/>
        <v>3106161.0463596499</v>
      </c>
      <c r="H1148" s="513">
        <f>+J1138*G1148+E1148</f>
        <v>439663.34701635916</v>
      </c>
      <c r="I1148" s="520">
        <f>+J1139*G1148+E1148</f>
        <v>439663.34701635916</v>
      </c>
      <c r="J1148" s="516">
        <f t="shared" si="107"/>
        <v>0</v>
      </c>
      <c r="K1148" s="516"/>
      <c r="L1148" s="521"/>
      <c r="M1148" s="516">
        <f t="shared" si="108"/>
        <v>0</v>
      </c>
      <c r="N1148" s="521"/>
      <c r="O1148" s="516">
        <f t="shared" si="109"/>
        <v>0</v>
      </c>
      <c r="P1148" s="516">
        <f t="shared" si="110"/>
        <v>0</v>
      </c>
    </row>
    <row r="1149" spans="1:16">
      <c r="C1149" s="512">
        <f>IF(D1137="","-",+C1148+1)</f>
        <v>2027</v>
      </c>
      <c r="D1149" s="477">
        <f t="shared" si="111"/>
        <v>3058859.1014912287</v>
      </c>
      <c r="E1149" s="519">
        <f t="shared" si="112"/>
        <v>94603.889736842088</v>
      </c>
      <c r="F1149" s="519">
        <f t="shared" si="105"/>
        <v>2964255.2117543868</v>
      </c>
      <c r="G1149" s="477">
        <f t="shared" si="106"/>
        <v>3011557.1566228075</v>
      </c>
      <c r="H1149" s="513">
        <f>+J1138*G1149+E1149</f>
        <v>429153.92192155152</v>
      </c>
      <c r="I1149" s="520">
        <f>+J1139*G1149+E1149</f>
        <v>429153.92192155152</v>
      </c>
      <c r="J1149" s="516">
        <f t="shared" si="107"/>
        <v>0</v>
      </c>
      <c r="K1149" s="516"/>
      <c r="L1149" s="521"/>
      <c r="M1149" s="516">
        <f t="shared" si="108"/>
        <v>0</v>
      </c>
      <c r="N1149" s="521"/>
      <c r="O1149" s="516">
        <f t="shared" si="109"/>
        <v>0</v>
      </c>
      <c r="P1149" s="516">
        <f t="shared" si="110"/>
        <v>0</v>
      </c>
    </row>
    <row r="1150" spans="1:16">
      <c r="C1150" s="512">
        <f>IF(D1137="","-",+C1149+1)</f>
        <v>2028</v>
      </c>
      <c r="D1150" s="477">
        <f t="shared" si="111"/>
        <v>2964255.2117543868</v>
      </c>
      <c r="E1150" s="519">
        <f t="shared" si="112"/>
        <v>94603.889736842088</v>
      </c>
      <c r="F1150" s="519">
        <f t="shared" si="105"/>
        <v>2869651.3220175449</v>
      </c>
      <c r="G1150" s="477">
        <f t="shared" si="106"/>
        <v>2916953.2668859661</v>
      </c>
      <c r="H1150" s="513">
        <f>+J1138*G1150+E1150</f>
        <v>418644.49682674394</v>
      </c>
      <c r="I1150" s="520">
        <f>+J1139*G1150+E1150</f>
        <v>418644.49682674394</v>
      </c>
      <c r="J1150" s="516">
        <f t="shared" si="107"/>
        <v>0</v>
      </c>
      <c r="K1150" s="516"/>
      <c r="L1150" s="521"/>
      <c r="M1150" s="516">
        <f t="shared" si="108"/>
        <v>0</v>
      </c>
      <c r="N1150" s="521"/>
      <c r="O1150" s="516">
        <f t="shared" si="109"/>
        <v>0</v>
      </c>
      <c r="P1150" s="516">
        <f t="shared" si="110"/>
        <v>0</v>
      </c>
    </row>
    <row r="1151" spans="1:16">
      <c r="C1151" s="512">
        <f>IF(D1137="","-",+C1150+1)</f>
        <v>2029</v>
      </c>
      <c r="D1151" s="477">
        <f t="shared" si="111"/>
        <v>2869651.3220175449</v>
      </c>
      <c r="E1151" s="519">
        <f t="shared" si="112"/>
        <v>94603.889736842088</v>
      </c>
      <c r="F1151" s="519">
        <f t="shared" si="105"/>
        <v>2775047.432280703</v>
      </c>
      <c r="G1151" s="477">
        <f t="shared" si="106"/>
        <v>2822349.3771491237</v>
      </c>
      <c r="H1151" s="513">
        <f>+J1138*G1151+E1151</f>
        <v>408135.0717319363</v>
      </c>
      <c r="I1151" s="520">
        <f>+J1139*G1151+E1151</f>
        <v>408135.0717319363</v>
      </c>
      <c r="J1151" s="516">
        <f t="shared" si="107"/>
        <v>0</v>
      </c>
      <c r="K1151" s="516"/>
      <c r="L1151" s="521"/>
      <c r="M1151" s="516">
        <f t="shared" si="108"/>
        <v>0</v>
      </c>
      <c r="N1151" s="521"/>
      <c r="O1151" s="516">
        <f t="shared" si="109"/>
        <v>0</v>
      </c>
      <c r="P1151" s="516">
        <f t="shared" si="110"/>
        <v>0</v>
      </c>
    </row>
    <row r="1152" spans="1:16">
      <c r="C1152" s="512">
        <f>IF(D1137="","-",+C1151+1)</f>
        <v>2030</v>
      </c>
      <c r="D1152" s="477">
        <f t="shared" si="111"/>
        <v>2775047.432280703</v>
      </c>
      <c r="E1152" s="519">
        <f t="shared" si="112"/>
        <v>94603.889736842088</v>
      </c>
      <c r="F1152" s="519">
        <f t="shared" si="105"/>
        <v>2680443.5425438611</v>
      </c>
      <c r="G1152" s="477">
        <f t="shared" si="106"/>
        <v>2727745.4874122823</v>
      </c>
      <c r="H1152" s="513">
        <f>+J1138*G1152+E1152</f>
        <v>397625.64663712872</v>
      </c>
      <c r="I1152" s="520">
        <f>+J1139*G1152+E1152</f>
        <v>397625.64663712872</v>
      </c>
      <c r="J1152" s="516">
        <f t="shared" si="107"/>
        <v>0</v>
      </c>
      <c r="K1152" s="516"/>
      <c r="L1152" s="521"/>
      <c r="M1152" s="516">
        <f t="shared" si="108"/>
        <v>0</v>
      </c>
      <c r="N1152" s="521"/>
      <c r="O1152" s="516">
        <f t="shared" si="109"/>
        <v>0</v>
      </c>
      <c r="P1152" s="516">
        <f t="shared" si="110"/>
        <v>0</v>
      </c>
    </row>
    <row r="1153" spans="3:16">
      <c r="C1153" s="512">
        <f>IF(D1137="","-",+C1152+1)</f>
        <v>2031</v>
      </c>
      <c r="D1153" s="477">
        <f t="shared" si="111"/>
        <v>2680443.5425438611</v>
      </c>
      <c r="E1153" s="519">
        <f t="shared" si="112"/>
        <v>94603.889736842088</v>
      </c>
      <c r="F1153" s="519">
        <f t="shared" si="105"/>
        <v>2585839.6528070192</v>
      </c>
      <c r="G1153" s="477">
        <f t="shared" si="106"/>
        <v>2633141.5976754399</v>
      </c>
      <c r="H1153" s="513">
        <f>+J1138*G1153+E1153</f>
        <v>387116.22154232109</v>
      </c>
      <c r="I1153" s="520">
        <f>+J1139*G1153+E1153</f>
        <v>387116.22154232109</v>
      </c>
      <c r="J1153" s="516">
        <f t="shared" si="107"/>
        <v>0</v>
      </c>
      <c r="K1153" s="516"/>
      <c r="L1153" s="521"/>
      <c r="M1153" s="516">
        <f t="shared" si="108"/>
        <v>0</v>
      </c>
      <c r="N1153" s="521"/>
      <c r="O1153" s="516">
        <f t="shared" si="109"/>
        <v>0</v>
      </c>
      <c r="P1153" s="516">
        <f t="shared" si="110"/>
        <v>0</v>
      </c>
    </row>
    <row r="1154" spans="3:16">
      <c r="C1154" s="512">
        <f>IF(D1137="","-",+C1153+1)</f>
        <v>2032</v>
      </c>
      <c r="D1154" s="477">
        <f t="shared" si="111"/>
        <v>2585839.6528070192</v>
      </c>
      <c r="E1154" s="519">
        <f t="shared" si="112"/>
        <v>94603.889736842088</v>
      </c>
      <c r="F1154" s="519">
        <f t="shared" si="105"/>
        <v>2491235.7630701773</v>
      </c>
      <c r="G1154" s="477">
        <f t="shared" si="106"/>
        <v>2538537.7079385985</v>
      </c>
      <c r="H1154" s="513">
        <f>+J1138*G1154+E1154</f>
        <v>376606.79644751357</v>
      </c>
      <c r="I1154" s="520">
        <f>+J1139*G1154+E1154</f>
        <v>376606.79644751357</v>
      </c>
      <c r="J1154" s="516">
        <f t="shared" si="107"/>
        <v>0</v>
      </c>
      <c r="K1154" s="516"/>
      <c r="L1154" s="521"/>
      <c r="M1154" s="516">
        <f t="shared" si="108"/>
        <v>0</v>
      </c>
      <c r="N1154" s="521"/>
      <c r="O1154" s="516">
        <f t="shared" si="109"/>
        <v>0</v>
      </c>
      <c r="P1154" s="516">
        <f t="shared" si="110"/>
        <v>0</v>
      </c>
    </row>
    <row r="1155" spans="3:16">
      <c r="C1155" s="512">
        <f>IF(D1137="","-",+C1154+1)</f>
        <v>2033</v>
      </c>
      <c r="D1155" s="477">
        <f t="shared" si="111"/>
        <v>2491235.7630701773</v>
      </c>
      <c r="E1155" s="519">
        <f t="shared" si="112"/>
        <v>94603.889736842088</v>
      </c>
      <c r="F1155" s="519">
        <f t="shared" si="105"/>
        <v>2396631.8733333354</v>
      </c>
      <c r="G1155" s="477">
        <f t="shared" si="106"/>
        <v>2443933.8182017561</v>
      </c>
      <c r="H1155" s="513">
        <f>+J1138*G1155+E1155</f>
        <v>366097.37135270587</v>
      </c>
      <c r="I1155" s="520">
        <f>+J1139*G1155+E1155</f>
        <v>366097.37135270587</v>
      </c>
      <c r="J1155" s="516">
        <f t="shared" si="107"/>
        <v>0</v>
      </c>
      <c r="K1155" s="516"/>
      <c r="L1155" s="521"/>
      <c r="M1155" s="516">
        <f t="shared" si="108"/>
        <v>0</v>
      </c>
      <c r="N1155" s="521"/>
      <c r="O1155" s="516">
        <f t="shared" si="109"/>
        <v>0</v>
      </c>
      <c r="P1155" s="516">
        <f t="shared" si="110"/>
        <v>0</v>
      </c>
    </row>
    <row r="1156" spans="3:16">
      <c r="C1156" s="512">
        <f>IF(D1137="","-",+C1155+1)</f>
        <v>2034</v>
      </c>
      <c r="D1156" s="477">
        <f t="shared" si="111"/>
        <v>2396631.8733333354</v>
      </c>
      <c r="E1156" s="519">
        <f t="shared" si="112"/>
        <v>94603.889736842088</v>
      </c>
      <c r="F1156" s="519">
        <f t="shared" si="105"/>
        <v>2302027.9835964935</v>
      </c>
      <c r="G1156" s="477">
        <f t="shared" si="106"/>
        <v>2349329.9284649147</v>
      </c>
      <c r="H1156" s="513">
        <f>+J1138*G1156+E1156</f>
        <v>355587.94625789835</v>
      </c>
      <c r="I1156" s="520">
        <f>+J1139*G1156+E1156</f>
        <v>355587.94625789835</v>
      </c>
      <c r="J1156" s="516">
        <f t="shared" si="107"/>
        <v>0</v>
      </c>
      <c r="K1156" s="516"/>
      <c r="L1156" s="521"/>
      <c r="M1156" s="516">
        <f t="shared" si="108"/>
        <v>0</v>
      </c>
      <c r="N1156" s="521"/>
      <c r="O1156" s="516">
        <f t="shared" si="109"/>
        <v>0</v>
      </c>
      <c r="P1156" s="516">
        <f t="shared" si="110"/>
        <v>0</v>
      </c>
    </row>
    <row r="1157" spans="3:16">
      <c r="C1157" s="512">
        <f>IF(D1137="","-",+C1156+1)</f>
        <v>2035</v>
      </c>
      <c r="D1157" s="477">
        <f t="shared" si="111"/>
        <v>2302027.9835964935</v>
      </c>
      <c r="E1157" s="519">
        <f t="shared" si="112"/>
        <v>94603.889736842088</v>
      </c>
      <c r="F1157" s="519">
        <f t="shared" si="105"/>
        <v>2207424.0938596516</v>
      </c>
      <c r="G1157" s="477">
        <f t="shared" si="106"/>
        <v>2254726.0387280723</v>
      </c>
      <c r="H1157" s="513">
        <f>+J1138*G1157+E1157</f>
        <v>345078.52116309071</v>
      </c>
      <c r="I1157" s="520">
        <f>+J1139*G1157+E1157</f>
        <v>345078.52116309071</v>
      </c>
      <c r="J1157" s="516">
        <f t="shared" si="107"/>
        <v>0</v>
      </c>
      <c r="K1157" s="516"/>
      <c r="L1157" s="521"/>
      <c r="M1157" s="516">
        <f t="shared" si="108"/>
        <v>0</v>
      </c>
      <c r="N1157" s="521"/>
      <c r="O1157" s="516">
        <f t="shared" si="109"/>
        <v>0</v>
      </c>
      <c r="P1157" s="516">
        <f t="shared" si="110"/>
        <v>0</v>
      </c>
    </row>
    <row r="1158" spans="3:16">
      <c r="C1158" s="512">
        <f>IF(D1137="","-",+C1157+1)</f>
        <v>2036</v>
      </c>
      <c r="D1158" s="477">
        <f t="shared" si="111"/>
        <v>2207424.0938596516</v>
      </c>
      <c r="E1158" s="519">
        <f t="shared" si="112"/>
        <v>94603.889736842088</v>
      </c>
      <c r="F1158" s="519">
        <f t="shared" si="105"/>
        <v>2112820.2041228097</v>
      </c>
      <c r="G1158" s="477">
        <f t="shared" si="106"/>
        <v>2160122.1489912309</v>
      </c>
      <c r="H1158" s="513">
        <f>+J1138*G1158+E1158</f>
        <v>334569.09606828314</v>
      </c>
      <c r="I1158" s="520">
        <f>+J1139*G1158+E1158</f>
        <v>334569.09606828314</v>
      </c>
      <c r="J1158" s="516">
        <f t="shared" si="107"/>
        <v>0</v>
      </c>
      <c r="K1158" s="516"/>
      <c r="L1158" s="521"/>
      <c r="M1158" s="516">
        <f t="shared" si="108"/>
        <v>0</v>
      </c>
      <c r="N1158" s="521"/>
      <c r="O1158" s="516">
        <f t="shared" si="109"/>
        <v>0</v>
      </c>
      <c r="P1158" s="516">
        <f t="shared" si="110"/>
        <v>0</v>
      </c>
    </row>
    <row r="1159" spans="3:16">
      <c r="C1159" s="512">
        <f>IF(D1137="","-",+C1158+1)</f>
        <v>2037</v>
      </c>
      <c r="D1159" s="477">
        <f t="shared" si="111"/>
        <v>2112820.2041228097</v>
      </c>
      <c r="E1159" s="519">
        <f t="shared" si="112"/>
        <v>94603.889736842088</v>
      </c>
      <c r="F1159" s="519">
        <f t="shared" si="105"/>
        <v>2018216.3143859676</v>
      </c>
      <c r="G1159" s="477">
        <f t="shared" si="106"/>
        <v>2065518.2592543885</v>
      </c>
      <c r="H1159" s="513">
        <f>+J1138*G1159+E1159</f>
        <v>324059.6709734755</v>
      </c>
      <c r="I1159" s="520">
        <f>+J1139*G1159+E1159</f>
        <v>324059.6709734755</v>
      </c>
      <c r="J1159" s="516">
        <f t="shared" si="107"/>
        <v>0</v>
      </c>
      <c r="K1159" s="516"/>
      <c r="L1159" s="521"/>
      <c r="M1159" s="516">
        <f t="shared" si="108"/>
        <v>0</v>
      </c>
      <c r="N1159" s="521"/>
      <c r="O1159" s="516">
        <f t="shared" si="109"/>
        <v>0</v>
      </c>
      <c r="P1159" s="516">
        <f t="shared" si="110"/>
        <v>0</v>
      </c>
    </row>
    <row r="1160" spans="3:16">
      <c r="C1160" s="512">
        <f>IF(D1137="","-",+C1159+1)</f>
        <v>2038</v>
      </c>
      <c r="D1160" s="477">
        <f t="shared" si="111"/>
        <v>2018216.3143859676</v>
      </c>
      <c r="E1160" s="519">
        <f t="shared" si="112"/>
        <v>94603.889736842088</v>
      </c>
      <c r="F1160" s="519">
        <f t="shared" si="105"/>
        <v>1923612.4246491254</v>
      </c>
      <c r="G1160" s="477">
        <f t="shared" si="106"/>
        <v>1970914.3695175466</v>
      </c>
      <c r="H1160" s="513">
        <f>+J1138*G1160+E1160</f>
        <v>313550.24587866792</v>
      </c>
      <c r="I1160" s="520">
        <f>+J1139*G1160+E1160</f>
        <v>313550.24587866792</v>
      </c>
      <c r="J1160" s="516">
        <f t="shared" si="107"/>
        <v>0</v>
      </c>
      <c r="K1160" s="516"/>
      <c r="L1160" s="521"/>
      <c r="M1160" s="516">
        <f t="shared" si="108"/>
        <v>0</v>
      </c>
      <c r="N1160" s="521"/>
      <c r="O1160" s="516">
        <f t="shared" si="109"/>
        <v>0</v>
      </c>
      <c r="P1160" s="516">
        <f t="shared" si="110"/>
        <v>0</v>
      </c>
    </row>
    <row r="1161" spans="3:16">
      <c r="C1161" s="512">
        <f>IF(D1137="","-",+C1160+1)</f>
        <v>2039</v>
      </c>
      <c r="D1161" s="477">
        <f t="shared" si="111"/>
        <v>1923612.4246491254</v>
      </c>
      <c r="E1161" s="519">
        <f t="shared" si="112"/>
        <v>94603.889736842088</v>
      </c>
      <c r="F1161" s="519">
        <f t="shared" si="105"/>
        <v>1829008.5349122833</v>
      </c>
      <c r="G1161" s="477">
        <f t="shared" si="106"/>
        <v>1876310.4797807042</v>
      </c>
      <c r="H1161" s="513">
        <f>+J1138*G1161+E1161</f>
        <v>303040.82078386022</v>
      </c>
      <c r="I1161" s="520">
        <f>+J1139*G1161+E1161</f>
        <v>303040.82078386022</v>
      </c>
      <c r="J1161" s="516">
        <f t="shared" si="107"/>
        <v>0</v>
      </c>
      <c r="K1161" s="516"/>
      <c r="L1161" s="521"/>
      <c r="M1161" s="516">
        <f t="shared" si="108"/>
        <v>0</v>
      </c>
      <c r="N1161" s="521"/>
      <c r="O1161" s="516">
        <f t="shared" si="109"/>
        <v>0</v>
      </c>
      <c r="P1161" s="516">
        <f t="shared" si="110"/>
        <v>0</v>
      </c>
    </row>
    <row r="1162" spans="3:16">
      <c r="C1162" s="512">
        <f>IF(D1137="","-",+C1161+1)</f>
        <v>2040</v>
      </c>
      <c r="D1162" s="477">
        <f t="shared" si="111"/>
        <v>1829008.5349122833</v>
      </c>
      <c r="E1162" s="519">
        <f t="shared" si="112"/>
        <v>94603.889736842088</v>
      </c>
      <c r="F1162" s="519">
        <f t="shared" si="105"/>
        <v>1734404.6451754412</v>
      </c>
      <c r="G1162" s="477">
        <f t="shared" si="106"/>
        <v>1781706.5900438624</v>
      </c>
      <c r="H1162" s="513">
        <f>+J1138*G1162+E1162</f>
        <v>292531.39568905265</v>
      </c>
      <c r="I1162" s="520">
        <f>+J1139*G1162+E1162</f>
        <v>292531.39568905265</v>
      </c>
      <c r="J1162" s="516">
        <f t="shared" si="107"/>
        <v>0</v>
      </c>
      <c r="K1162" s="516"/>
      <c r="L1162" s="521"/>
      <c r="M1162" s="516">
        <f t="shared" si="108"/>
        <v>0</v>
      </c>
      <c r="N1162" s="521"/>
      <c r="O1162" s="516">
        <f t="shared" si="109"/>
        <v>0</v>
      </c>
      <c r="P1162" s="516">
        <f t="shared" si="110"/>
        <v>0</v>
      </c>
    </row>
    <row r="1163" spans="3:16">
      <c r="C1163" s="512">
        <f>IF(D1137="","-",+C1162+1)</f>
        <v>2041</v>
      </c>
      <c r="D1163" s="477">
        <f t="shared" si="111"/>
        <v>1734404.6451754412</v>
      </c>
      <c r="E1163" s="519">
        <f t="shared" si="112"/>
        <v>94603.889736842088</v>
      </c>
      <c r="F1163" s="519">
        <f t="shared" si="105"/>
        <v>1639800.755438599</v>
      </c>
      <c r="G1163" s="477">
        <f t="shared" si="106"/>
        <v>1687102.70030702</v>
      </c>
      <c r="H1163" s="513">
        <f>+J1138*G1163+E1163</f>
        <v>282021.97059424501</v>
      </c>
      <c r="I1163" s="520">
        <f>+J1139*G1163+E1163</f>
        <v>282021.97059424501</v>
      </c>
      <c r="J1163" s="516">
        <f t="shared" si="107"/>
        <v>0</v>
      </c>
      <c r="K1163" s="516"/>
      <c r="L1163" s="521"/>
      <c r="M1163" s="516">
        <f t="shared" si="108"/>
        <v>0</v>
      </c>
      <c r="N1163" s="521"/>
      <c r="O1163" s="516">
        <f t="shared" si="109"/>
        <v>0</v>
      </c>
      <c r="P1163" s="516">
        <f t="shared" si="110"/>
        <v>0</v>
      </c>
    </row>
    <row r="1164" spans="3:16">
      <c r="C1164" s="512">
        <f>IF(D1137="","-",+C1163+1)</f>
        <v>2042</v>
      </c>
      <c r="D1164" s="477">
        <f t="shared" si="111"/>
        <v>1639800.755438599</v>
      </c>
      <c r="E1164" s="519">
        <f t="shared" si="112"/>
        <v>94603.889736842088</v>
      </c>
      <c r="F1164" s="519">
        <f t="shared" si="105"/>
        <v>1545196.8657017569</v>
      </c>
      <c r="G1164" s="477">
        <f t="shared" si="106"/>
        <v>1592498.8105701781</v>
      </c>
      <c r="H1164" s="513">
        <f>+J1138*G1164+E1164</f>
        <v>271512.54549943737</v>
      </c>
      <c r="I1164" s="520">
        <f>+J1139*G1164+E1164</f>
        <v>271512.54549943737</v>
      </c>
      <c r="J1164" s="516">
        <f t="shared" si="107"/>
        <v>0</v>
      </c>
      <c r="K1164" s="516"/>
      <c r="L1164" s="521"/>
      <c r="M1164" s="516">
        <f t="shared" si="108"/>
        <v>0</v>
      </c>
      <c r="N1164" s="521"/>
      <c r="O1164" s="516">
        <f t="shared" si="109"/>
        <v>0</v>
      </c>
      <c r="P1164" s="516">
        <f t="shared" si="110"/>
        <v>0</v>
      </c>
    </row>
    <row r="1165" spans="3:16">
      <c r="C1165" s="512">
        <f>IF(D1137="","-",+C1164+1)</f>
        <v>2043</v>
      </c>
      <c r="D1165" s="477">
        <f t="shared" si="111"/>
        <v>1545196.8657017569</v>
      </c>
      <c r="E1165" s="519">
        <f t="shared" si="112"/>
        <v>94603.889736842088</v>
      </c>
      <c r="F1165" s="519">
        <f t="shared" si="105"/>
        <v>1450592.9759649148</v>
      </c>
      <c r="G1165" s="477">
        <f t="shared" si="106"/>
        <v>1497894.9208333357</v>
      </c>
      <c r="H1165" s="513">
        <f>+J1138*G1165+E1165</f>
        <v>261003.12040462974</v>
      </c>
      <c r="I1165" s="520">
        <f>+J1139*G1165+E1165</f>
        <v>261003.12040462974</v>
      </c>
      <c r="J1165" s="516">
        <f t="shared" si="107"/>
        <v>0</v>
      </c>
      <c r="K1165" s="516"/>
      <c r="L1165" s="521"/>
      <c r="M1165" s="516">
        <f t="shared" si="108"/>
        <v>0</v>
      </c>
      <c r="N1165" s="521"/>
      <c r="O1165" s="516">
        <f t="shared" si="109"/>
        <v>0</v>
      </c>
      <c r="P1165" s="516">
        <f t="shared" si="110"/>
        <v>0</v>
      </c>
    </row>
    <row r="1166" spans="3:16">
      <c r="C1166" s="512">
        <f>IF(D1137="","-",+C1165+1)</f>
        <v>2044</v>
      </c>
      <c r="D1166" s="477">
        <f t="shared" si="111"/>
        <v>1450592.9759649148</v>
      </c>
      <c r="E1166" s="519">
        <f t="shared" si="112"/>
        <v>94603.889736842088</v>
      </c>
      <c r="F1166" s="519">
        <f t="shared" si="105"/>
        <v>1355989.0862280726</v>
      </c>
      <c r="G1166" s="477">
        <f t="shared" si="106"/>
        <v>1403291.0310964938</v>
      </c>
      <c r="H1166" s="513">
        <f>+J1138*G1166+E1166</f>
        <v>250493.69530982216</v>
      </c>
      <c r="I1166" s="520">
        <f>+J1139*G1166+E1166</f>
        <v>250493.69530982216</v>
      </c>
      <c r="J1166" s="516">
        <f t="shared" si="107"/>
        <v>0</v>
      </c>
      <c r="K1166" s="516"/>
      <c r="L1166" s="521"/>
      <c r="M1166" s="516">
        <f t="shared" si="108"/>
        <v>0</v>
      </c>
      <c r="N1166" s="521"/>
      <c r="O1166" s="516">
        <f t="shared" si="109"/>
        <v>0</v>
      </c>
      <c r="P1166" s="516">
        <f t="shared" si="110"/>
        <v>0</v>
      </c>
    </row>
    <row r="1167" spans="3:16">
      <c r="C1167" s="512">
        <f>IF(D1137="","-",+C1166+1)</f>
        <v>2045</v>
      </c>
      <c r="D1167" s="477">
        <f t="shared" si="111"/>
        <v>1355989.0862280726</v>
      </c>
      <c r="E1167" s="519">
        <f t="shared" si="112"/>
        <v>94603.889736842088</v>
      </c>
      <c r="F1167" s="519">
        <f t="shared" si="105"/>
        <v>1261385.1964912305</v>
      </c>
      <c r="G1167" s="477">
        <f t="shared" si="106"/>
        <v>1308687.1413596515</v>
      </c>
      <c r="H1167" s="513">
        <f>+J1138*G1167+E1167</f>
        <v>239984.27021501446</v>
      </c>
      <c r="I1167" s="520">
        <f>+J1139*G1167+E1167</f>
        <v>239984.27021501446</v>
      </c>
      <c r="J1167" s="516">
        <f t="shared" si="107"/>
        <v>0</v>
      </c>
      <c r="K1167" s="516"/>
      <c r="L1167" s="521"/>
      <c r="M1167" s="516">
        <f t="shared" si="108"/>
        <v>0</v>
      </c>
      <c r="N1167" s="521"/>
      <c r="O1167" s="516">
        <f t="shared" si="109"/>
        <v>0</v>
      </c>
      <c r="P1167" s="516">
        <f t="shared" si="110"/>
        <v>0</v>
      </c>
    </row>
    <row r="1168" spans="3:16">
      <c r="C1168" s="512">
        <f>IF(D1137="","-",+C1167+1)</f>
        <v>2046</v>
      </c>
      <c r="D1168" s="477">
        <f t="shared" si="111"/>
        <v>1261385.1964912305</v>
      </c>
      <c r="E1168" s="519">
        <f t="shared" si="112"/>
        <v>94603.889736842088</v>
      </c>
      <c r="F1168" s="519">
        <f t="shared" si="105"/>
        <v>1166781.3067543884</v>
      </c>
      <c r="G1168" s="477">
        <f t="shared" si="106"/>
        <v>1214083.2516228096</v>
      </c>
      <c r="H1168" s="513">
        <f>+J1138*G1168+E1168</f>
        <v>229474.84512020688</v>
      </c>
      <c r="I1168" s="520">
        <f>+J1139*G1168+E1168</f>
        <v>229474.84512020688</v>
      </c>
      <c r="J1168" s="516">
        <f t="shared" si="107"/>
        <v>0</v>
      </c>
      <c r="K1168" s="516"/>
      <c r="L1168" s="521"/>
      <c r="M1168" s="516">
        <f t="shared" si="108"/>
        <v>0</v>
      </c>
      <c r="N1168" s="521"/>
      <c r="O1168" s="516">
        <f t="shared" si="109"/>
        <v>0</v>
      </c>
      <c r="P1168" s="516">
        <f t="shared" si="110"/>
        <v>0</v>
      </c>
    </row>
    <row r="1169" spans="3:16">
      <c r="C1169" s="512">
        <f>IF(D1137="","-",+C1168+1)</f>
        <v>2047</v>
      </c>
      <c r="D1169" s="477">
        <f t="shared" si="111"/>
        <v>1166781.3067543884</v>
      </c>
      <c r="E1169" s="519">
        <f t="shared" si="112"/>
        <v>94603.889736842088</v>
      </c>
      <c r="F1169" s="519">
        <f t="shared" si="105"/>
        <v>1072177.4170175462</v>
      </c>
      <c r="G1169" s="477">
        <f t="shared" si="106"/>
        <v>1119479.3618859672</v>
      </c>
      <c r="H1169" s="513">
        <f>+J1138*G1169+E1169</f>
        <v>218965.42002539925</v>
      </c>
      <c r="I1169" s="520">
        <f>+J1139*G1169+E1169</f>
        <v>218965.42002539925</v>
      </c>
      <c r="J1169" s="516">
        <f t="shared" si="107"/>
        <v>0</v>
      </c>
      <c r="K1169" s="516"/>
      <c r="L1169" s="521"/>
      <c r="M1169" s="516">
        <f t="shared" si="108"/>
        <v>0</v>
      </c>
      <c r="N1169" s="521"/>
      <c r="O1169" s="516">
        <f t="shared" si="109"/>
        <v>0</v>
      </c>
      <c r="P1169" s="516">
        <f t="shared" si="110"/>
        <v>0</v>
      </c>
    </row>
    <row r="1170" spans="3:16">
      <c r="C1170" s="512">
        <f>IF(D1137="","-",+C1169+1)</f>
        <v>2048</v>
      </c>
      <c r="D1170" s="477">
        <f t="shared" si="111"/>
        <v>1072177.4170175462</v>
      </c>
      <c r="E1170" s="519">
        <f t="shared" si="112"/>
        <v>94603.889736842088</v>
      </c>
      <c r="F1170" s="519">
        <f t="shared" si="105"/>
        <v>977573.52728070412</v>
      </c>
      <c r="G1170" s="477">
        <f t="shared" si="106"/>
        <v>1024875.4721491252</v>
      </c>
      <c r="H1170" s="513">
        <f>+J1138*G1170+E1170</f>
        <v>208455.99493059161</v>
      </c>
      <c r="I1170" s="520">
        <f>+J1139*G1170+E1170</f>
        <v>208455.99493059161</v>
      </c>
      <c r="J1170" s="516">
        <f t="shared" si="107"/>
        <v>0</v>
      </c>
      <c r="K1170" s="516"/>
      <c r="L1170" s="521"/>
      <c r="M1170" s="516">
        <f t="shared" si="108"/>
        <v>0</v>
      </c>
      <c r="N1170" s="521"/>
      <c r="O1170" s="516">
        <f t="shared" si="109"/>
        <v>0</v>
      </c>
      <c r="P1170" s="516">
        <f t="shared" si="110"/>
        <v>0</v>
      </c>
    </row>
    <row r="1171" spans="3:16">
      <c r="C1171" s="512">
        <f>IF(D1137="","-",+C1170+1)</f>
        <v>2049</v>
      </c>
      <c r="D1171" s="477">
        <f t="shared" si="111"/>
        <v>977573.52728070412</v>
      </c>
      <c r="E1171" s="519">
        <f t="shared" si="112"/>
        <v>94603.889736842088</v>
      </c>
      <c r="F1171" s="519">
        <f t="shared" si="105"/>
        <v>882969.63754386199</v>
      </c>
      <c r="G1171" s="477">
        <f t="shared" si="106"/>
        <v>930271.58241228305</v>
      </c>
      <c r="H1171" s="513">
        <f>+J1138*G1171+E1171</f>
        <v>197946.56983578397</v>
      </c>
      <c r="I1171" s="520">
        <f>+J1139*G1171+E1171</f>
        <v>197946.56983578397</v>
      </c>
      <c r="J1171" s="516">
        <f t="shared" si="107"/>
        <v>0</v>
      </c>
      <c r="K1171" s="516"/>
      <c r="L1171" s="521"/>
      <c r="M1171" s="516">
        <f t="shared" si="108"/>
        <v>0</v>
      </c>
      <c r="N1171" s="521"/>
      <c r="O1171" s="516">
        <f t="shared" si="109"/>
        <v>0</v>
      </c>
      <c r="P1171" s="516">
        <f t="shared" si="110"/>
        <v>0</v>
      </c>
    </row>
    <row r="1172" spans="3:16">
      <c r="C1172" s="512">
        <f>IF(D1137="","-",+C1171+1)</f>
        <v>2050</v>
      </c>
      <c r="D1172" s="477">
        <f t="shared" si="111"/>
        <v>882969.63754386199</v>
      </c>
      <c r="E1172" s="519">
        <f t="shared" si="112"/>
        <v>94603.889736842088</v>
      </c>
      <c r="F1172" s="519">
        <f t="shared" si="105"/>
        <v>788365.74780701986</v>
      </c>
      <c r="G1172" s="477">
        <f t="shared" si="106"/>
        <v>835667.69267544092</v>
      </c>
      <c r="H1172" s="513">
        <f>+J1138*G1172+E1172</f>
        <v>187437.14474097636</v>
      </c>
      <c r="I1172" s="520">
        <f>+J1139*G1172+E1172</f>
        <v>187437.14474097636</v>
      </c>
      <c r="J1172" s="516">
        <f t="shared" si="107"/>
        <v>0</v>
      </c>
      <c r="K1172" s="516"/>
      <c r="L1172" s="521"/>
      <c r="M1172" s="516">
        <f t="shared" si="108"/>
        <v>0</v>
      </c>
      <c r="N1172" s="521"/>
      <c r="O1172" s="516">
        <f t="shared" si="109"/>
        <v>0</v>
      </c>
      <c r="P1172" s="516">
        <f t="shared" si="110"/>
        <v>0</v>
      </c>
    </row>
    <row r="1173" spans="3:16">
      <c r="C1173" s="512">
        <f>IF(D1137="","-",+C1172+1)</f>
        <v>2051</v>
      </c>
      <c r="D1173" s="477">
        <f t="shared" si="111"/>
        <v>788365.74780701986</v>
      </c>
      <c r="E1173" s="519">
        <f t="shared" si="112"/>
        <v>94603.889736842088</v>
      </c>
      <c r="F1173" s="519">
        <f t="shared" si="105"/>
        <v>693761.85807017772</v>
      </c>
      <c r="G1173" s="477">
        <f t="shared" si="106"/>
        <v>741063.80293859879</v>
      </c>
      <c r="H1173" s="513">
        <f>+J1138*G1173+E1173</f>
        <v>176927.71964616876</v>
      </c>
      <c r="I1173" s="520">
        <f>+J1139*G1173+E1173</f>
        <v>176927.71964616876</v>
      </c>
      <c r="J1173" s="516">
        <f t="shared" si="107"/>
        <v>0</v>
      </c>
      <c r="K1173" s="516"/>
      <c r="L1173" s="521"/>
      <c r="M1173" s="516">
        <f t="shared" si="108"/>
        <v>0</v>
      </c>
      <c r="N1173" s="521"/>
      <c r="O1173" s="516">
        <f t="shared" si="109"/>
        <v>0</v>
      </c>
      <c r="P1173" s="516">
        <f t="shared" si="110"/>
        <v>0</v>
      </c>
    </row>
    <row r="1174" spans="3:16">
      <c r="C1174" s="512">
        <f>IF(D1137="","-",+C1173+1)</f>
        <v>2052</v>
      </c>
      <c r="D1174" s="477">
        <f t="shared" si="111"/>
        <v>693761.85807017772</v>
      </c>
      <c r="E1174" s="519">
        <f t="shared" si="112"/>
        <v>94603.889736842088</v>
      </c>
      <c r="F1174" s="519">
        <f t="shared" si="105"/>
        <v>599157.96833333559</v>
      </c>
      <c r="G1174" s="477">
        <f t="shared" si="106"/>
        <v>646459.91320175666</v>
      </c>
      <c r="H1174" s="513">
        <f>+J1138*G1174+E1174</f>
        <v>166418.29455136112</v>
      </c>
      <c r="I1174" s="520">
        <f>+J1139*G1174+E1174</f>
        <v>166418.29455136112</v>
      </c>
      <c r="J1174" s="516">
        <f t="shared" si="107"/>
        <v>0</v>
      </c>
      <c r="K1174" s="516"/>
      <c r="L1174" s="521"/>
      <c r="M1174" s="516">
        <f t="shared" si="108"/>
        <v>0</v>
      </c>
      <c r="N1174" s="521"/>
      <c r="O1174" s="516">
        <f t="shared" si="109"/>
        <v>0</v>
      </c>
      <c r="P1174" s="516">
        <f t="shared" si="110"/>
        <v>0</v>
      </c>
    </row>
    <row r="1175" spans="3:16">
      <c r="C1175" s="512">
        <f>IF(D1137="","-",+C1174+1)</f>
        <v>2053</v>
      </c>
      <c r="D1175" s="477">
        <f t="shared" si="111"/>
        <v>599157.96833333559</v>
      </c>
      <c r="E1175" s="519">
        <f t="shared" si="112"/>
        <v>94603.889736842088</v>
      </c>
      <c r="F1175" s="519">
        <f t="shared" si="105"/>
        <v>504554.07859649352</v>
      </c>
      <c r="G1175" s="477">
        <f t="shared" si="106"/>
        <v>551856.02346491453</v>
      </c>
      <c r="H1175" s="513">
        <f>+J1138*G1175+E1175</f>
        <v>155908.86945655348</v>
      </c>
      <c r="I1175" s="520">
        <f>+J1139*G1175+E1175</f>
        <v>155908.86945655348</v>
      </c>
      <c r="J1175" s="516">
        <f t="shared" si="107"/>
        <v>0</v>
      </c>
      <c r="K1175" s="516"/>
      <c r="L1175" s="521"/>
      <c r="M1175" s="516">
        <f t="shared" si="108"/>
        <v>0</v>
      </c>
      <c r="N1175" s="521"/>
      <c r="O1175" s="516">
        <f t="shared" si="109"/>
        <v>0</v>
      </c>
      <c r="P1175" s="516">
        <f t="shared" si="110"/>
        <v>0</v>
      </c>
    </row>
    <row r="1176" spans="3:16">
      <c r="C1176" s="512">
        <f>IF(D1137="","-",+C1175+1)</f>
        <v>2054</v>
      </c>
      <c r="D1176" s="477">
        <f t="shared" si="111"/>
        <v>504554.07859649352</v>
      </c>
      <c r="E1176" s="519">
        <f t="shared" si="112"/>
        <v>94603.889736842088</v>
      </c>
      <c r="F1176" s="519">
        <f t="shared" si="105"/>
        <v>409950.18885965145</v>
      </c>
      <c r="G1176" s="477">
        <f t="shared" si="106"/>
        <v>457252.13372807251</v>
      </c>
      <c r="H1176" s="513">
        <f>+J1138*G1176+E1176</f>
        <v>145399.44436174587</v>
      </c>
      <c r="I1176" s="520">
        <f>+J1139*G1176+E1176</f>
        <v>145399.44436174587</v>
      </c>
      <c r="J1176" s="516">
        <f t="shared" si="107"/>
        <v>0</v>
      </c>
      <c r="K1176" s="516"/>
      <c r="L1176" s="521"/>
      <c r="M1176" s="516">
        <f t="shared" si="108"/>
        <v>0</v>
      </c>
      <c r="N1176" s="521"/>
      <c r="O1176" s="516">
        <f t="shared" si="109"/>
        <v>0</v>
      </c>
      <c r="P1176" s="516">
        <f t="shared" si="110"/>
        <v>0</v>
      </c>
    </row>
    <row r="1177" spans="3:16">
      <c r="C1177" s="512">
        <f>IF(D1137="","-",+C1176+1)</f>
        <v>2055</v>
      </c>
      <c r="D1177" s="477">
        <f t="shared" si="111"/>
        <v>409950.18885965145</v>
      </c>
      <c r="E1177" s="519">
        <f t="shared" si="112"/>
        <v>94603.889736842088</v>
      </c>
      <c r="F1177" s="519">
        <f t="shared" si="105"/>
        <v>315346.29912280937</v>
      </c>
      <c r="G1177" s="477">
        <f t="shared" si="106"/>
        <v>362648.24399123038</v>
      </c>
      <c r="H1177" s="513">
        <f>+J1138*G1177+E1177</f>
        <v>134890.01926693824</v>
      </c>
      <c r="I1177" s="520">
        <f>+J1139*G1177+E1177</f>
        <v>134890.01926693824</v>
      </c>
      <c r="J1177" s="516">
        <f t="shared" si="107"/>
        <v>0</v>
      </c>
      <c r="K1177" s="516"/>
      <c r="L1177" s="521"/>
      <c r="M1177" s="516">
        <f t="shared" si="108"/>
        <v>0</v>
      </c>
      <c r="N1177" s="521"/>
      <c r="O1177" s="516">
        <f t="shared" si="109"/>
        <v>0</v>
      </c>
      <c r="P1177" s="516">
        <f t="shared" si="110"/>
        <v>0</v>
      </c>
    </row>
    <row r="1178" spans="3:16">
      <c r="C1178" s="512">
        <f>IF(D1137="","-",+C1177+1)</f>
        <v>2056</v>
      </c>
      <c r="D1178" s="477">
        <f t="shared" si="111"/>
        <v>315346.29912280937</v>
      </c>
      <c r="E1178" s="519">
        <f t="shared" si="112"/>
        <v>94603.889736842088</v>
      </c>
      <c r="F1178" s="519">
        <f t="shared" si="105"/>
        <v>220742.4093859673</v>
      </c>
      <c r="G1178" s="477">
        <f t="shared" si="106"/>
        <v>268044.35425438837</v>
      </c>
      <c r="H1178" s="513">
        <f>+J1138*G1178+E1178</f>
        <v>124380.59417213063</v>
      </c>
      <c r="I1178" s="520">
        <f>+J1139*G1178+E1178</f>
        <v>124380.59417213063</v>
      </c>
      <c r="J1178" s="516">
        <f t="shared" si="107"/>
        <v>0</v>
      </c>
      <c r="K1178" s="516"/>
      <c r="L1178" s="521"/>
      <c r="M1178" s="516">
        <f t="shared" si="108"/>
        <v>0</v>
      </c>
      <c r="N1178" s="521"/>
      <c r="O1178" s="516">
        <f t="shared" si="109"/>
        <v>0</v>
      </c>
      <c r="P1178" s="516">
        <f t="shared" si="110"/>
        <v>0</v>
      </c>
    </row>
    <row r="1179" spans="3:16">
      <c r="C1179" s="512">
        <f>IF(D1137="","-",+C1178+1)</f>
        <v>2057</v>
      </c>
      <c r="D1179" s="477">
        <f t="shared" si="111"/>
        <v>220742.4093859673</v>
      </c>
      <c r="E1179" s="519">
        <f t="shared" si="112"/>
        <v>94603.889736842088</v>
      </c>
      <c r="F1179" s="519">
        <f t="shared" si="105"/>
        <v>126138.51964912521</v>
      </c>
      <c r="G1179" s="477">
        <f t="shared" si="106"/>
        <v>173440.46451754626</v>
      </c>
      <c r="H1179" s="513">
        <f>+J1138*G1179+E1179</f>
        <v>113871.16907732299</v>
      </c>
      <c r="I1179" s="520">
        <f>+J1139*G1179+E1179</f>
        <v>113871.16907732299</v>
      </c>
      <c r="J1179" s="516">
        <f t="shared" si="107"/>
        <v>0</v>
      </c>
      <c r="K1179" s="516"/>
      <c r="L1179" s="521"/>
      <c r="M1179" s="516">
        <f t="shared" si="108"/>
        <v>0</v>
      </c>
      <c r="N1179" s="521"/>
      <c r="O1179" s="516">
        <f t="shared" si="109"/>
        <v>0</v>
      </c>
      <c r="P1179" s="516">
        <f t="shared" si="110"/>
        <v>0</v>
      </c>
    </row>
    <row r="1180" spans="3:16">
      <c r="C1180" s="512">
        <f>IF(D1137="","-",+C1179+1)</f>
        <v>2058</v>
      </c>
      <c r="D1180" s="477">
        <f t="shared" si="111"/>
        <v>126138.51964912521</v>
      </c>
      <c r="E1180" s="519">
        <f t="shared" si="112"/>
        <v>94603.889736842088</v>
      </c>
      <c r="F1180" s="519">
        <f t="shared" si="105"/>
        <v>31534.629912283126</v>
      </c>
      <c r="G1180" s="477">
        <f t="shared" si="106"/>
        <v>78836.574780704163</v>
      </c>
      <c r="H1180" s="513">
        <f>+J1138*G1180+E1180</f>
        <v>103361.74398251537</v>
      </c>
      <c r="I1180" s="520">
        <f>+J1139*G1180+E1180</f>
        <v>103361.74398251537</v>
      </c>
      <c r="J1180" s="516">
        <f t="shared" si="107"/>
        <v>0</v>
      </c>
      <c r="K1180" s="516"/>
      <c r="L1180" s="521"/>
      <c r="M1180" s="516">
        <f t="shared" si="108"/>
        <v>0</v>
      </c>
      <c r="N1180" s="521"/>
      <c r="O1180" s="516">
        <f t="shared" si="109"/>
        <v>0</v>
      </c>
      <c r="P1180" s="516">
        <f t="shared" si="110"/>
        <v>0</v>
      </c>
    </row>
    <row r="1181" spans="3:16">
      <c r="C1181" s="512">
        <f>IF(D1137="","-",+C1180+1)</f>
        <v>2059</v>
      </c>
      <c r="D1181" s="477">
        <f t="shared" si="111"/>
        <v>31534.629912283126</v>
      </c>
      <c r="E1181" s="519">
        <f t="shared" si="112"/>
        <v>31534.629912283126</v>
      </c>
      <c r="F1181" s="519">
        <f t="shared" si="105"/>
        <v>0</v>
      </c>
      <c r="G1181" s="477">
        <f t="shared" si="106"/>
        <v>15767.314956141563</v>
      </c>
      <c r="H1181" s="513">
        <f>+J1138*G1181+E1181</f>
        <v>33286.200761417866</v>
      </c>
      <c r="I1181" s="520">
        <f>+J1139*G1181+E1181</f>
        <v>33286.200761417866</v>
      </c>
      <c r="J1181" s="516">
        <f t="shared" si="107"/>
        <v>0</v>
      </c>
      <c r="K1181" s="516"/>
      <c r="L1181" s="521"/>
      <c r="M1181" s="516">
        <f t="shared" si="108"/>
        <v>0</v>
      </c>
      <c r="N1181" s="521"/>
      <c r="O1181" s="516">
        <f t="shared" si="109"/>
        <v>0</v>
      </c>
      <c r="P1181" s="516">
        <f t="shared" si="110"/>
        <v>0</v>
      </c>
    </row>
    <row r="1182" spans="3:16">
      <c r="C1182" s="512">
        <f>IF(D1137="","-",+C1181+1)</f>
        <v>2060</v>
      </c>
      <c r="D1182" s="477">
        <f t="shared" si="111"/>
        <v>0</v>
      </c>
      <c r="E1182" s="519">
        <f t="shared" si="112"/>
        <v>0</v>
      </c>
      <c r="F1182" s="519">
        <f t="shared" si="105"/>
        <v>0</v>
      </c>
      <c r="G1182" s="477">
        <f t="shared" si="106"/>
        <v>0</v>
      </c>
      <c r="H1182" s="513">
        <f>+J1138*G1182+E1182</f>
        <v>0</v>
      </c>
      <c r="I1182" s="520">
        <f>+J1139*G1182+E1182</f>
        <v>0</v>
      </c>
      <c r="J1182" s="516">
        <f t="shared" si="107"/>
        <v>0</v>
      </c>
      <c r="K1182" s="516"/>
      <c r="L1182" s="521"/>
      <c r="M1182" s="516">
        <f t="shared" si="108"/>
        <v>0</v>
      </c>
      <c r="N1182" s="521"/>
      <c r="O1182" s="516">
        <f t="shared" si="109"/>
        <v>0</v>
      </c>
      <c r="P1182" s="516">
        <f t="shared" si="110"/>
        <v>0</v>
      </c>
    </row>
    <row r="1183" spans="3:16">
      <c r="C1183" s="512">
        <f>IF(D1137="","-",+C1182+1)</f>
        <v>2061</v>
      </c>
      <c r="D1183" s="477">
        <f t="shared" si="111"/>
        <v>0</v>
      </c>
      <c r="E1183" s="519">
        <f t="shared" si="112"/>
        <v>0</v>
      </c>
      <c r="F1183" s="519">
        <f t="shared" si="105"/>
        <v>0</v>
      </c>
      <c r="G1183" s="477">
        <f t="shared" si="106"/>
        <v>0</v>
      </c>
      <c r="H1183" s="513">
        <f>+J1138*G1183+E1183</f>
        <v>0</v>
      </c>
      <c r="I1183" s="520">
        <f>+J1139*G1183+E1183</f>
        <v>0</v>
      </c>
      <c r="J1183" s="516">
        <f t="shared" si="107"/>
        <v>0</v>
      </c>
      <c r="K1183" s="516"/>
      <c r="L1183" s="521"/>
      <c r="M1183" s="516">
        <f t="shared" si="108"/>
        <v>0</v>
      </c>
      <c r="N1183" s="521"/>
      <c r="O1183" s="516">
        <f t="shared" si="109"/>
        <v>0</v>
      </c>
      <c r="P1183" s="516">
        <f t="shared" si="110"/>
        <v>0</v>
      </c>
    </row>
    <row r="1184" spans="3:16">
      <c r="C1184" s="512">
        <f>IF(D1137="","-",+C1183+1)</f>
        <v>2062</v>
      </c>
      <c r="D1184" s="477">
        <f t="shared" si="111"/>
        <v>0</v>
      </c>
      <c r="E1184" s="519">
        <f t="shared" si="112"/>
        <v>0</v>
      </c>
      <c r="F1184" s="519">
        <f t="shared" si="105"/>
        <v>0</v>
      </c>
      <c r="G1184" s="477">
        <f t="shared" si="106"/>
        <v>0</v>
      </c>
      <c r="H1184" s="513">
        <f>+J1138*G1184+E1184</f>
        <v>0</v>
      </c>
      <c r="I1184" s="520">
        <f>+J1139*G1184+E1184</f>
        <v>0</v>
      </c>
      <c r="J1184" s="516">
        <f t="shared" si="107"/>
        <v>0</v>
      </c>
      <c r="K1184" s="516"/>
      <c r="L1184" s="521"/>
      <c r="M1184" s="516">
        <f t="shared" si="108"/>
        <v>0</v>
      </c>
      <c r="N1184" s="521"/>
      <c r="O1184" s="516">
        <f t="shared" si="109"/>
        <v>0</v>
      </c>
      <c r="P1184" s="516">
        <f t="shared" si="110"/>
        <v>0</v>
      </c>
    </row>
    <row r="1185" spans="3:16">
      <c r="C1185" s="512">
        <f>IF(D1137="","-",+C1184+1)</f>
        <v>2063</v>
      </c>
      <c r="D1185" s="477">
        <f t="shared" si="111"/>
        <v>0</v>
      </c>
      <c r="E1185" s="519">
        <f t="shared" si="112"/>
        <v>0</v>
      </c>
      <c r="F1185" s="519">
        <f t="shared" si="105"/>
        <v>0</v>
      </c>
      <c r="G1185" s="477">
        <f t="shared" si="106"/>
        <v>0</v>
      </c>
      <c r="H1185" s="513">
        <f>+J1138*G1185+E1185</f>
        <v>0</v>
      </c>
      <c r="I1185" s="520">
        <f>+J1139*G1185+E1185</f>
        <v>0</v>
      </c>
      <c r="J1185" s="516">
        <f t="shared" si="107"/>
        <v>0</v>
      </c>
      <c r="K1185" s="516"/>
      <c r="L1185" s="521"/>
      <c r="M1185" s="516">
        <f t="shared" si="108"/>
        <v>0</v>
      </c>
      <c r="N1185" s="521"/>
      <c r="O1185" s="516">
        <f t="shared" si="109"/>
        <v>0</v>
      </c>
      <c r="P1185" s="516">
        <f t="shared" si="110"/>
        <v>0</v>
      </c>
    </row>
    <row r="1186" spans="3:16">
      <c r="C1186" s="512">
        <f>IF(D1137="","-",+C1185+1)</f>
        <v>2064</v>
      </c>
      <c r="D1186" s="477">
        <f t="shared" si="111"/>
        <v>0</v>
      </c>
      <c r="E1186" s="519">
        <f t="shared" si="112"/>
        <v>0</v>
      </c>
      <c r="F1186" s="519">
        <f t="shared" si="105"/>
        <v>0</v>
      </c>
      <c r="G1186" s="477">
        <f t="shared" si="106"/>
        <v>0</v>
      </c>
      <c r="H1186" s="513">
        <f>+J1138*G1186+E1186</f>
        <v>0</v>
      </c>
      <c r="I1186" s="520">
        <f>+J1139*G1186+E1186</f>
        <v>0</v>
      </c>
      <c r="J1186" s="516">
        <f t="shared" si="107"/>
        <v>0</v>
      </c>
      <c r="K1186" s="516"/>
      <c r="L1186" s="521"/>
      <c r="M1186" s="516">
        <f t="shared" si="108"/>
        <v>0</v>
      </c>
      <c r="N1186" s="521"/>
      <c r="O1186" s="516">
        <f t="shared" si="109"/>
        <v>0</v>
      </c>
      <c r="P1186" s="516">
        <f t="shared" si="110"/>
        <v>0</v>
      </c>
    </row>
    <row r="1187" spans="3:16">
      <c r="C1187" s="512">
        <f>IF(D1137="","-",+C1186+1)</f>
        <v>2065</v>
      </c>
      <c r="D1187" s="477">
        <f t="shared" si="111"/>
        <v>0</v>
      </c>
      <c r="E1187" s="519">
        <f t="shared" si="112"/>
        <v>0</v>
      </c>
      <c r="F1187" s="519">
        <f t="shared" si="105"/>
        <v>0</v>
      </c>
      <c r="G1187" s="477">
        <f t="shared" si="106"/>
        <v>0</v>
      </c>
      <c r="H1187" s="513">
        <f>+J1138*G1187+E1187</f>
        <v>0</v>
      </c>
      <c r="I1187" s="520">
        <f>+J1139*G1187+E1187</f>
        <v>0</v>
      </c>
      <c r="J1187" s="516">
        <f t="shared" si="107"/>
        <v>0</v>
      </c>
      <c r="K1187" s="516"/>
      <c r="L1187" s="521"/>
      <c r="M1187" s="516">
        <f t="shared" si="108"/>
        <v>0</v>
      </c>
      <c r="N1187" s="521"/>
      <c r="O1187" s="516">
        <f t="shared" si="109"/>
        <v>0</v>
      </c>
      <c r="P1187" s="516">
        <f t="shared" si="110"/>
        <v>0</v>
      </c>
    </row>
    <row r="1188" spans="3:16">
      <c r="C1188" s="512">
        <f>IF(D1137="","-",+C1187+1)</f>
        <v>2066</v>
      </c>
      <c r="D1188" s="477">
        <f t="shared" si="111"/>
        <v>0</v>
      </c>
      <c r="E1188" s="519">
        <f t="shared" si="112"/>
        <v>0</v>
      </c>
      <c r="F1188" s="519">
        <f t="shared" si="105"/>
        <v>0</v>
      </c>
      <c r="G1188" s="477">
        <f t="shared" si="106"/>
        <v>0</v>
      </c>
      <c r="H1188" s="513">
        <f>+J1138*G1188+E1188</f>
        <v>0</v>
      </c>
      <c r="I1188" s="520">
        <f>+J1139*G1188+E1188</f>
        <v>0</v>
      </c>
      <c r="J1188" s="516">
        <f t="shared" si="107"/>
        <v>0</v>
      </c>
      <c r="K1188" s="516"/>
      <c r="L1188" s="521"/>
      <c r="M1188" s="516">
        <f t="shared" si="108"/>
        <v>0</v>
      </c>
      <c r="N1188" s="521"/>
      <c r="O1188" s="516">
        <f t="shared" si="109"/>
        <v>0</v>
      </c>
      <c r="P1188" s="516">
        <f t="shared" si="110"/>
        <v>0</v>
      </c>
    </row>
    <row r="1189" spans="3:16">
      <c r="C1189" s="512">
        <f>IF(D1137="","-",+C1188+1)</f>
        <v>2067</v>
      </c>
      <c r="D1189" s="477">
        <f t="shared" si="111"/>
        <v>0</v>
      </c>
      <c r="E1189" s="519">
        <f t="shared" si="112"/>
        <v>0</v>
      </c>
      <c r="F1189" s="519">
        <f t="shared" si="105"/>
        <v>0</v>
      </c>
      <c r="G1189" s="477">
        <f t="shared" si="106"/>
        <v>0</v>
      </c>
      <c r="H1189" s="513">
        <f>+J1138*G1189+E1189</f>
        <v>0</v>
      </c>
      <c r="I1189" s="520">
        <f>+J1139*G1189+E1189</f>
        <v>0</v>
      </c>
      <c r="J1189" s="516">
        <f t="shared" si="107"/>
        <v>0</v>
      </c>
      <c r="K1189" s="516"/>
      <c r="L1189" s="521"/>
      <c r="M1189" s="516">
        <f t="shared" si="108"/>
        <v>0</v>
      </c>
      <c r="N1189" s="521"/>
      <c r="O1189" s="516">
        <f t="shared" si="109"/>
        <v>0</v>
      </c>
      <c r="P1189" s="516">
        <f t="shared" si="110"/>
        <v>0</v>
      </c>
    </row>
    <row r="1190" spans="3:16">
      <c r="C1190" s="512">
        <f>IF(D1137="","-",+C1189+1)</f>
        <v>2068</v>
      </c>
      <c r="D1190" s="477">
        <f t="shared" si="111"/>
        <v>0</v>
      </c>
      <c r="E1190" s="519">
        <f t="shared" si="112"/>
        <v>0</v>
      </c>
      <c r="F1190" s="519">
        <f t="shared" si="105"/>
        <v>0</v>
      </c>
      <c r="G1190" s="477">
        <f t="shared" si="106"/>
        <v>0</v>
      </c>
      <c r="H1190" s="513">
        <f>+J1138*G1190+E1190</f>
        <v>0</v>
      </c>
      <c r="I1190" s="520">
        <f>+J1139*G1190+E1190</f>
        <v>0</v>
      </c>
      <c r="J1190" s="516">
        <f t="shared" si="107"/>
        <v>0</v>
      </c>
      <c r="K1190" s="516"/>
      <c r="L1190" s="521"/>
      <c r="M1190" s="516">
        <f t="shared" si="108"/>
        <v>0</v>
      </c>
      <c r="N1190" s="521"/>
      <c r="O1190" s="516">
        <f t="shared" si="109"/>
        <v>0</v>
      </c>
      <c r="P1190" s="516">
        <f t="shared" si="110"/>
        <v>0</v>
      </c>
    </row>
    <row r="1191" spans="3:16">
      <c r="C1191" s="512">
        <f>IF(D1137="","-",+C1190+1)</f>
        <v>2069</v>
      </c>
      <c r="D1191" s="477">
        <f t="shared" si="111"/>
        <v>0</v>
      </c>
      <c r="E1191" s="519">
        <f t="shared" si="112"/>
        <v>0</v>
      </c>
      <c r="F1191" s="519">
        <f t="shared" si="105"/>
        <v>0</v>
      </c>
      <c r="G1191" s="477">
        <f t="shared" si="106"/>
        <v>0</v>
      </c>
      <c r="H1191" s="513">
        <f>+J1138*G1191+E1191</f>
        <v>0</v>
      </c>
      <c r="I1191" s="520">
        <f>+J1139*G1191+E1191</f>
        <v>0</v>
      </c>
      <c r="J1191" s="516">
        <f t="shared" si="107"/>
        <v>0</v>
      </c>
      <c r="K1191" s="516"/>
      <c r="L1191" s="521"/>
      <c r="M1191" s="516">
        <f t="shared" si="108"/>
        <v>0</v>
      </c>
      <c r="N1191" s="521"/>
      <c r="O1191" s="516">
        <f t="shared" si="109"/>
        <v>0</v>
      </c>
      <c r="P1191" s="516">
        <f t="shared" si="110"/>
        <v>0</v>
      </c>
    </row>
    <row r="1192" spans="3:16">
      <c r="C1192" s="512">
        <f>IF(D1137="","-",+C1191+1)</f>
        <v>2070</v>
      </c>
      <c r="D1192" s="477">
        <f t="shared" si="111"/>
        <v>0</v>
      </c>
      <c r="E1192" s="519">
        <f t="shared" si="112"/>
        <v>0</v>
      </c>
      <c r="F1192" s="519">
        <f t="shared" si="105"/>
        <v>0</v>
      </c>
      <c r="G1192" s="477">
        <f t="shared" si="106"/>
        <v>0</v>
      </c>
      <c r="H1192" s="513">
        <f>+J1138*G1192+E1192</f>
        <v>0</v>
      </c>
      <c r="I1192" s="520">
        <f>+J1139*G1192+E1192</f>
        <v>0</v>
      </c>
      <c r="J1192" s="516">
        <f t="shared" si="107"/>
        <v>0</v>
      </c>
      <c r="K1192" s="516"/>
      <c r="L1192" s="521"/>
      <c r="M1192" s="516">
        <f t="shared" si="108"/>
        <v>0</v>
      </c>
      <c r="N1192" s="521"/>
      <c r="O1192" s="516">
        <f t="shared" si="109"/>
        <v>0</v>
      </c>
      <c r="P1192" s="516">
        <f t="shared" si="110"/>
        <v>0</v>
      </c>
    </row>
    <row r="1193" spans="3:16">
      <c r="C1193" s="512">
        <f>IF(D1137="","-",+C1192+1)</f>
        <v>2071</v>
      </c>
      <c r="D1193" s="477">
        <f t="shared" si="111"/>
        <v>0</v>
      </c>
      <c r="E1193" s="519">
        <f t="shared" si="112"/>
        <v>0</v>
      </c>
      <c r="F1193" s="519">
        <f t="shared" si="105"/>
        <v>0</v>
      </c>
      <c r="G1193" s="477">
        <f t="shared" si="106"/>
        <v>0</v>
      </c>
      <c r="H1193" s="513">
        <f>+J1138*G1193+E1193</f>
        <v>0</v>
      </c>
      <c r="I1193" s="520">
        <f>+J1139*G1193+E1193</f>
        <v>0</v>
      </c>
      <c r="J1193" s="516">
        <f t="shared" si="107"/>
        <v>0</v>
      </c>
      <c r="K1193" s="516"/>
      <c r="L1193" s="521"/>
      <c r="M1193" s="516">
        <f t="shared" si="108"/>
        <v>0</v>
      </c>
      <c r="N1193" s="521"/>
      <c r="O1193" s="516">
        <f t="shared" si="109"/>
        <v>0</v>
      </c>
      <c r="P1193" s="516">
        <f t="shared" si="110"/>
        <v>0</v>
      </c>
    </row>
    <row r="1194" spans="3:16">
      <c r="C1194" s="512">
        <f>IF(D1137="","-",+C1193+1)</f>
        <v>2072</v>
      </c>
      <c r="D1194" s="477">
        <f t="shared" si="111"/>
        <v>0</v>
      </c>
      <c r="E1194" s="519">
        <f t="shared" si="112"/>
        <v>0</v>
      </c>
      <c r="F1194" s="519">
        <f t="shared" si="105"/>
        <v>0</v>
      </c>
      <c r="G1194" s="477">
        <f t="shared" si="106"/>
        <v>0</v>
      </c>
      <c r="H1194" s="513">
        <f>+J1138*G1194+E1194</f>
        <v>0</v>
      </c>
      <c r="I1194" s="520">
        <f>+J1139*G1194+E1194</f>
        <v>0</v>
      </c>
      <c r="J1194" s="516">
        <f t="shared" si="107"/>
        <v>0</v>
      </c>
      <c r="K1194" s="516"/>
      <c r="L1194" s="521"/>
      <c r="M1194" s="516">
        <f t="shared" si="108"/>
        <v>0</v>
      </c>
      <c r="N1194" s="521"/>
      <c r="O1194" s="516">
        <f t="shared" si="109"/>
        <v>0</v>
      </c>
      <c r="P1194" s="516">
        <f t="shared" si="110"/>
        <v>0</v>
      </c>
    </row>
    <row r="1195" spans="3:16">
      <c r="C1195" s="512">
        <f>IF(D1137="","-",+C1194+1)</f>
        <v>2073</v>
      </c>
      <c r="D1195" s="477">
        <f t="shared" si="111"/>
        <v>0</v>
      </c>
      <c r="E1195" s="519">
        <f t="shared" si="112"/>
        <v>0</v>
      </c>
      <c r="F1195" s="519">
        <f t="shared" si="105"/>
        <v>0</v>
      </c>
      <c r="G1195" s="477">
        <f t="shared" si="106"/>
        <v>0</v>
      </c>
      <c r="H1195" s="513">
        <f>+J1138*G1195+E1195</f>
        <v>0</v>
      </c>
      <c r="I1195" s="520">
        <f>+J1139*G1195+E1195</f>
        <v>0</v>
      </c>
      <c r="J1195" s="516">
        <f t="shared" si="107"/>
        <v>0</v>
      </c>
      <c r="K1195" s="516"/>
      <c r="L1195" s="521"/>
      <c r="M1195" s="516">
        <f t="shared" si="108"/>
        <v>0</v>
      </c>
      <c r="N1195" s="521"/>
      <c r="O1195" s="516">
        <f t="shared" si="109"/>
        <v>0</v>
      </c>
      <c r="P1195" s="516">
        <f t="shared" si="110"/>
        <v>0</v>
      </c>
    </row>
    <row r="1196" spans="3:16">
      <c r="C1196" s="512">
        <f>IF(D1137="","-",+C1195+1)</f>
        <v>2074</v>
      </c>
      <c r="D1196" s="477">
        <f t="shared" si="111"/>
        <v>0</v>
      </c>
      <c r="E1196" s="519">
        <f t="shared" si="112"/>
        <v>0</v>
      </c>
      <c r="F1196" s="519">
        <f t="shared" si="105"/>
        <v>0</v>
      </c>
      <c r="G1196" s="477">
        <f t="shared" si="106"/>
        <v>0</v>
      </c>
      <c r="H1196" s="513">
        <f>+J1138*G1196+E1196</f>
        <v>0</v>
      </c>
      <c r="I1196" s="520">
        <f>+J1139*G1196+E1196</f>
        <v>0</v>
      </c>
      <c r="J1196" s="516">
        <f t="shared" si="107"/>
        <v>0</v>
      </c>
      <c r="K1196" s="516"/>
      <c r="L1196" s="521"/>
      <c r="M1196" s="516">
        <f t="shared" si="108"/>
        <v>0</v>
      </c>
      <c r="N1196" s="521"/>
      <c r="O1196" s="516">
        <f t="shared" si="109"/>
        <v>0</v>
      </c>
      <c r="P1196" s="516">
        <f t="shared" si="110"/>
        <v>0</v>
      </c>
    </row>
    <row r="1197" spans="3:16">
      <c r="C1197" s="512">
        <f>IF(D1137="","-",+C1196+1)</f>
        <v>2075</v>
      </c>
      <c r="D1197" s="477">
        <f t="shared" si="111"/>
        <v>0</v>
      </c>
      <c r="E1197" s="519">
        <f t="shared" si="112"/>
        <v>0</v>
      </c>
      <c r="F1197" s="519">
        <f t="shared" si="105"/>
        <v>0</v>
      </c>
      <c r="G1197" s="477">
        <f t="shared" si="106"/>
        <v>0</v>
      </c>
      <c r="H1197" s="513">
        <f>+J1138*G1197+E1197</f>
        <v>0</v>
      </c>
      <c r="I1197" s="520">
        <f>+J1139*G1197+E1197</f>
        <v>0</v>
      </c>
      <c r="J1197" s="516">
        <f t="shared" si="107"/>
        <v>0</v>
      </c>
      <c r="K1197" s="516"/>
      <c r="L1197" s="521"/>
      <c r="M1197" s="516">
        <f t="shared" si="108"/>
        <v>0</v>
      </c>
      <c r="N1197" s="521"/>
      <c r="O1197" s="516">
        <f t="shared" si="109"/>
        <v>0</v>
      </c>
      <c r="P1197" s="516">
        <f t="shared" si="110"/>
        <v>0</v>
      </c>
    </row>
    <row r="1198" spans="3:16">
      <c r="C1198" s="512">
        <f>IF(D1137="","-",+C1197+1)</f>
        <v>2076</v>
      </c>
      <c r="D1198" s="477">
        <f t="shared" si="111"/>
        <v>0</v>
      </c>
      <c r="E1198" s="519">
        <f t="shared" si="112"/>
        <v>0</v>
      </c>
      <c r="F1198" s="519">
        <f t="shared" si="105"/>
        <v>0</v>
      </c>
      <c r="G1198" s="477">
        <f t="shared" si="106"/>
        <v>0</v>
      </c>
      <c r="H1198" s="513">
        <f>+J1138*G1198+E1198</f>
        <v>0</v>
      </c>
      <c r="I1198" s="520">
        <f>+J1139*G1198+E1198</f>
        <v>0</v>
      </c>
      <c r="J1198" s="516">
        <f t="shared" si="107"/>
        <v>0</v>
      </c>
      <c r="K1198" s="516"/>
      <c r="L1198" s="521"/>
      <c r="M1198" s="516">
        <f t="shared" si="108"/>
        <v>0</v>
      </c>
      <c r="N1198" s="521"/>
      <c r="O1198" s="516">
        <f t="shared" si="109"/>
        <v>0</v>
      </c>
      <c r="P1198" s="516">
        <f t="shared" si="110"/>
        <v>0</v>
      </c>
    </row>
    <row r="1199" spans="3:16">
      <c r="C1199" s="512">
        <f>IF(D1137="","-",+C1198+1)</f>
        <v>2077</v>
      </c>
      <c r="D1199" s="477">
        <f t="shared" si="111"/>
        <v>0</v>
      </c>
      <c r="E1199" s="519">
        <f t="shared" si="112"/>
        <v>0</v>
      </c>
      <c r="F1199" s="519">
        <f t="shared" si="105"/>
        <v>0</v>
      </c>
      <c r="G1199" s="477">
        <f t="shared" si="106"/>
        <v>0</v>
      </c>
      <c r="H1199" s="513">
        <f>+J1138*G1199+E1199</f>
        <v>0</v>
      </c>
      <c r="I1199" s="520">
        <f>+J1139*G1199+E1199</f>
        <v>0</v>
      </c>
      <c r="J1199" s="516">
        <f t="shared" si="107"/>
        <v>0</v>
      </c>
      <c r="K1199" s="516"/>
      <c r="L1199" s="521"/>
      <c r="M1199" s="516">
        <f t="shared" si="108"/>
        <v>0</v>
      </c>
      <c r="N1199" s="521"/>
      <c r="O1199" s="516">
        <f t="shared" si="109"/>
        <v>0</v>
      </c>
      <c r="P1199" s="516">
        <f t="shared" si="110"/>
        <v>0</v>
      </c>
    </row>
    <row r="1200" spans="3:16">
      <c r="C1200" s="512">
        <f>IF(D1137="","-",+C1199+1)</f>
        <v>2078</v>
      </c>
      <c r="D1200" s="477">
        <f t="shared" si="111"/>
        <v>0</v>
      </c>
      <c r="E1200" s="519">
        <f t="shared" si="112"/>
        <v>0</v>
      </c>
      <c r="F1200" s="519">
        <f t="shared" si="105"/>
        <v>0</v>
      </c>
      <c r="G1200" s="477">
        <f t="shared" si="106"/>
        <v>0</v>
      </c>
      <c r="H1200" s="513">
        <f>+J1138*G1200+E1200</f>
        <v>0</v>
      </c>
      <c r="I1200" s="520">
        <f>+J1139*G1200+E1200</f>
        <v>0</v>
      </c>
      <c r="J1200" s="516">
        <f t="shared" si="107"/>
        <v>0</v>
      </c>
      <c r="K1200" s="516"/>
      <c r="L1200" s="521"/>
      <c r="M1200" s="516">
        <f t="shared" si="108"/>
        <v>0</v>
      </c>
      <c r="N1200" s="521"/>
      <c r="O1200" s="516">
        <f t="shared" si="109"/>
        <v>0</v>
      </c>
      <c r="P1200" s="516">
        <f t="shared" si="110"/>
        <v>0</v>
      </c>
    </row>
    <row r="1201" spans="3:16">
      <c r="C1201" s="512">
        <f>IF(D1137="","-",+C1200+1)</f>
        <v>2079</v>
      </c>
      <c r="D1201" s="477">
        <f t="shared" si="111"/>
        <v>0</v>
      </c>
      <c r="E1201" s="519">
        <f t="shared" si="112"/>
        <v>0</v>
      </c>
      <c r="F1201" s="519">
        <f t="shared" si="105"/>
        <v>0</v>
      </c>
      <c r="G1201" s="477">
        <f t="shared" si="106"/>
        <v>0</v>
      </c>
      <c r="H1201" s="513">
        <f>+J1138*G1201+E1201</f>
        <v>0</v>
      </c>
      <c r="I1201" s="520">
        <f>+J1139*G1201+E1201</f>
        <v>0</v>
      </c>
      <c r="J1201" s="516">
        <f t="shared" si="107"/>
        <v>0</v>
      </c>
      <c r="K1201" s="516"/>
      <c r="L1201" s="521"/>
      <c r="M1201" s="516">
        <f t="shared" si="108"/>
        <v>0</v>
      </c>
      <c r="N1201" s="521"/>
      <c r="O1201" s="516">
        <f t="shared" si="109"/>
        <v>0</v>
      </c>
      <c r="P1201" s="516">
        <f t="shared" si="110"/>
        <v>0</v>
      </c>
    </row>
    <row r="1202" spans="3:16" ht="13.5" thickBot="1">
      <c r="C1202" s="523">
        <f>IF(D1137="","-",+C1201+1)</f>
        <v>2080</v>
      </c>
      <c r="D1202" s="524">
        <f t="shared" si="111"/>
        <v>0</v>
      </c>
      <c r="E1202" s="519">
        <f t="shared" si="112"/>
        <v>0</v>
      </c>
      <c r="F1202" s="525">
        <f t="shared" si="105"/>
        <v>0</v>
      </c>
      <c r="G1202" s="524">
        <f t="shared" si="106"/>
        <v>0</v>
      </c>
      <c r="H1202" s="526">
        <f>+J1138*G1202+E1202</f>
        <v>0</v>
      </c>
      <c r="I1202" s="526">
        <f>+J1139*G1202+E1202</f>
        <v>0</v>
      </c>
      <c r="J1202" s="527">
        <f t="shared" si="107"/>
        <v>0</v>
      </c>
      <c r="K1202" s="516"/>
      <c r="L1202" s="528"/>
      <c r="M1202" s="527">
        <f t="shared" si="108"/>
        <v>0</v>
      </c>
      <c r="N1202" s="528"/>
      <c r="O1202" s="527">
        <f t="shared" si="109"/>
        <v>0</v>
      </c>
      <c r="P1202" s="527">
        <f t="shared" si="110"/>
        <v>0</v>
      </c>
    </row>
    <row r="1203" spans="3:16">
      <c r="C1203" s="477" t="s">
        <v>289</v>
      </c>
      <c r="D1203" s="475"/>
      <c r="E1203" s="475">
        <f>SUM(E1143:E1202)</f>
        <v>3594947.8099999996</v>
      </c>
      <c r="F1203" s="475"/>
      <c r="G1203" s="475"/>
      <c r="H1203" s="475">
        <f>SUM(H1143:H1202)</f>
        <v>11315872.112985346</v>
      </c>
      <c r="I1203" s="475">
        <f>SUM(I1143:I1202)</f>
        <v>11315872.112985346</v>
      </c>
      <c r="J1203" s="475">
        <f>SUM(J1143:J1202)</f>
        <v>0</v>
      </c>
      <c r="K1203" s="475"/>
      <c r="L1203" s="475"/>
      <c r="M1203" s="475"/>
      <c r="N1203" s="475"/>
      <c r="O1203" s="475"/>
    </row>
    <row r="1204" spans="3:16">
      <c r="D1204" s="82"/>
      <c r="E1204" s="4"/>
      <c r="F1204" s="4"/>
      <c r="G1204" s="4"/>
      <c r="H1204" s="4"/>
      <c r="I1204" s="460"/>
      <c r="J1204" s="460"/>
      <c r="K1204" s="475"/>
      <c r="L1204" s="460"/>
      <c r="M1204" s="460"/>
      <c r="N1204" s="460"/>
      <c r="O1204" s="460"/>
    </row>
    <row r="1205" spans="3:16">
      <c r="C1205" s="4" t="s">
        <v>596</v>
      </c>
      <c r="D1205" s="82"/>
      <c r="E1205" s="4"/>
      <c r="F1205" s="4"/>
      <c r="G1205" s="4"/>
      <c r="H1205" s="4"/>
      <c r="I1205" s="460"/>
      <c r="J1205" s="460"/>
      <c r="K1205" s="475"/>
      <c r="L1205" s="460"/>
      <c r="M1205" s="460"/>
      <c r="N1205" s="460"/>
      <c r="O1205" s="460"/>
    </row>
    <row r="1206" spans="3:16">
      <c r="D1206" s="82"/>
      <c r="E1206" s="4"/>
      <c r="F1206" s="4"/>
      <c r="G1206" s="4"/>
      <c r="H1206" s="4"/>
      <c r="I1206" s="460"/>
      <c r="J1206" s="460"/>
      <c r="K1206" s="475"/>
      <c r="L1206" s="460"/>
      <c r="M1206" s="460"/>
      <c r="N1206" s="460"/>
      <c r="O1206" s="460"/>
    </row>
    <row r="1207" spans="3:16">
      <c r="C1207" s="4" t="s">
        <v>597</v>
      </c>
      <c r="D1207" s="477"/>
      <c r="E1207" s="477"/>
      <c r="F1207" s="477"/>
      <c r="G1207" s="477"/>
      <c r="H1207" s="475"/>
      <c r="I1207" s="475"/>
      <c r="J1207" s="479"/>
      <c r="K1207" s="479"/>
      <c r="L1207" s="479"/>
      <c r="M1207" s="479"/>
      <c r="N1207" s="479"/>
      <c r="O1207" s="479"/>
    </row>
    <row r="1208" spans="3:16">
      <c r="C1208" s="4" t="s">
        <v>477</v>
      </c>
      <c r="D1208" s="477"/>
      <c r="E1208" s="477"/>
      <c r="F1208" s="477"/>
      <c r="G1208" s="477"/>
      <c r="H1208" s="475"/>
      <c r="I1208" s="475"/>
      <c r="J1208" s="479"/>
      <c r="K1208" s="479"/>
      <c r="L1208" s="479"/>
      <c r="M1208" s="479"/>
      <c r="N1208" s="479"/>
      <c r="O1208" s="479"/>
    </row>
    <row r="1209" spans="3:16">
      <c r="C1209" s="4" t="s">
        <v>290</v>
      </c>
      <c r="D1209" s="477"/>
      <c r="E1209" s="477"/>
      <c r="F1209" s="477"/>
      <c r="G1209" s="477"/>
      <c r="H1209" s="475"/>
      <c r="I1209" s="475"/>
      <c r="J1209" s="479"/>
      <c r="K1209" s="479"/>
      <c r="L1209" s="479"/>
      <c r="M1209" s="479"/>
      <c r="N1209" s="479"/>
      <c r="O1209" s="479"/>
    </row>
  </sheetData>
  <mergeCells count="34">
    <mergeCell ref="D1132:I1133"/>
    <mergeCell ref="L1136:O1136"/>
    <mergeCell ref="D787:I788"/>
    <mergeCell ref="L791:O791"/>
    <mergeCell ref="D874:I875"/>
    <mergeCell ref="L878:O878"/>
    <mergeCell ref="D960:I961"/>
    <mergeCell ref="L964:O964"/>
    <mergeCell ref="L95:O95"/>
    <mergeCell ref="L530:O530"/>
    <mergeCell ref="L617:O617"/>
    <mergeCell ref="D1046:I1047"/>
    <mergeCell ref="L1050:O1050"/>
    <mergeCell ref="A3:P3"/>
    <mergeCell ref="C11:I12"/>
    <mergeCell ref="A4:P4"/>
    <mergeCell ref="A5:P5"/>
    <mergeCell ref="A6:P6"/>
    <mergeCell ref="C51:D52"/>
    <mergeCell ref="L704:O704"/>
    <mergeCell ref="D91:I92"/>
    <mergeCell ref="D178:I179"/>
    <mergeCell ref="D265:I266"/>
    <mergeCell ref="D352:I353"/>
    <mergeCell ref="D439:I440"/>
    <mergeCell ref="D526:I527"/>
    <mergeCell ref="D613:I614"/>
    <mergeCell ref="D700:I701"/>
    <mergeCell ref="L182:O182"/>
    <mergeCell ref="L269:O269"/>
    <mergeCell ref="L356:O356"/>
    <mergeCell ref="L443:O443"/>
    <mergeCell ref="C60:D61"/>
    <mergeCell ref="C71:D72"/>
  </mergeCells>
  <phoneticPr fontId="0" type="noConversion"/>
  <conditionalFormatting sqref="C102:C161">
    <cfRule type="cellIs" dxfId="28" priority="23" stopIfTrue="1" operator="equal">
      <formula>$J$92</formula>
    </cfRule>
  </conditionalFormatting>
  <conditionalFormatting sqref="C189:C248">
    <cfRule type="cellIs" dxfId="27" priority="12" stopIfTrue="1" operator="equal">
      <formula>$J$92</formula>
    </cfRule>
  </conditionalFormatting>
  <conditionalFormatting sqref="C276:C335">
    <cfRule type="cellIs" dxfId="26" priority="11" stopIfTrue="1" operator="equal">
      <formula>$J$92</formula>
    </cfRule>
  </conditionalFormatting>
  <conditionalFormatting sqref="C363:C422">
    <cfRule type="cellIs" dxfId="25" priority="10" stopIfTrue="1" operator="equal">
      <formula>$J$92</formula>
    </cfRule>
  </conditionalFormatting>
  <conditionalFormatting sqref="C450:C509">
    <cfRule type="cellIs" dxfId="24" priority="9" stopIfTrue="1" operator="equal">
      <formula>$J$92</formula>
    </cfRule>
  </conditionalFormatting>
  <conditionalFormatting sqref="C537:C596">
    <cfRule type="cellIs" dxfId="23" priority="8" stopIfTrue="1" operator="equal">
      <formula>$J$92</formula>
    </cfRule>
  </conditionalFormatting>
  <conditionalFormatting sqref="C624:C683">
    <cfRule type="cellIs" dxfId="22" priority="7" stopIfTrue="1" operator="equal">
      <formula>$J$92</formula>
    </cfRule>
  </conditionalFormatting>
  <conditionalFormatting sqref="C711:C770">
    <cfRule type="cellIs" dxfId="21" priority="6" stopIfTrue="1" operator="equal">
      <formula>$J$92</formula>
    </cfRule>
  </conditionalFormatting>
  <conditionalFormatting sqref="C798:C857">
    <cfRule type="cellIs" dxfId="20" priority="5" stopIfTrue="1" operator="equal">
      <formula>$J$92</formula>
    </cfRule>
  </conditionalFormatting>
  <conditionalFormatting sqref="C885:C944">
    <cfRule type="cellIs" dxfId="19" priority="4" stopIfTrue="1" operator="equal">
      <formula>$J$92</formula>
    </cfRule>
  </conditionalFormatting>
  <conditionalFormatting sqref="C971:C1030">
    <cfRule type="cellIs" dxfId="18" priority="3" stopIfTrue="1" operator="equal">
      <formula>$J$92</formula>
    </cfRule>
  </conditionalFormatting>
  <conditionalFormatting sqref="C1057:C1116">
    <cfRule type="cellIs" dxfId="17" priority="2" stopIfTrue="1" operator="equal">
      <formula>$J$92</formula>
    </cfRule>
  </conditionalFormatting>
  <conditionalFormatting sqref="C1143:C1202">
    <cfRule type="cellIs" dxfId="16" priority="1" stopIfTrue="1" operator="equal">
      <formula>$J$92</formula>
    </cfRule>
  </conditionalFormatting>
  <pageMargins left="0.26" right="1.28" top="1" bottom="0.48" header="0.75" footer="0.5"/>
  <pageSetup scale="43" fitToHeight="2" orientation="landscape" r:id="rId1"/>
  <headerFooter alignWithMargins="0">
    <oddHeader>&amp;R&amp;"Arial,Bold"Formula Rate 
&amp;A
Page &amp;P of &amp;N</oddHeader>
  </headerFooter>
  <rowBreaks count="13" manualBreakCount="13">
    <brk id="81" max="15" man="1"/>
    <brk id="169" max="16383" man="1"/>
    <brk id="256" max="16383" man="1"/>
    <brk id="343" max="16383" man="1"/>
    <brk id="430" max="16383" man="1"/>
    <brk id="517" max="16383" man="1"/>
    <brk id="604" max="16383" man="1"/>
    <brk id="691" max="16383" man="1"/>
    <brk id="778" max="16383" man="1"/>
    <brk id="865" max="16383" man="1"/>
    <brk id="951" max="16383" man="1"/>
    <brk id="1037" max="16383" man="1"/>
    <brk id="112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AA47"/>
  <sheetViews>
    <sheetView tabSelected="1" zoomScaleNormal="100" zoomScaleSheetLayoutView="100" workbookViewId="0">
      <selection activeCell="D9" sqref="D9"/>
    </sheetView>
  </sheetViews>
  <sheetFormatPr defaultColWidth="9.140625" defaultRowHeight="12.75"/>
  <cols>
    <col min="1" max="1" width="9.140625" style="17"/>
    <col min="2" max="2" width="37.5703125" style="19" customWidth="1"/>
    <col min="3" max="3" width="31.5703125" style="6" customWidth="1"/>
    <col min="4" max="4" width="14.85546875" style="6" customWidth="1"/>
    <col min="5" max="5" width="18" style="6" customWidth="1"/>
    <col min="6" max="7" width="11.140625" style="6" bestFit="1" customWidth="1"/>
    <col min="8" max="8" width="11.140625" style="209" bestFit="1" customWidth="1"/>
    <col min="9" max="16384" width="9.140625" style="6"/>
  </cols>
  <sheetData>
    <row r="1" spans="1:27" ht="15.75">
      <c r="A1" s="669" t="s">
        <v>115</v>
      </c>
    </row>
    <row r="2" spans="1:27" ht="15.75">
      <c r="A2" s="669" t="s">
        <v>115</v>
      </c>
    </row>
    <row r="3" spans="1:27" ht="15">
      <c r="B3" s="1230" t="s">
        <v>388</v>
      </c>
      <c r="C3" s="1230"/>
      <c r="D3" s="1230"/>
      <c r="E3" s="1230"/>
      <c r="F3" s="1230"/>
      <c r="G3" s="30"/>
      <c r="H3" s="205"/>
      <c r="I3" s="30"/>
      <c r="J3" s="30"/>
      <c r="K3" s="30"/>
      <c r="L3" s="30"/>
      <c r="M3" s="30"/>
      <c r="N3" s="30"/>
      <c r="O3" s="30"/>
      <c r="P3" s="30"/>
    </row>
    <row r="4" spans="1:27" ht="15">
      <c r="B4" s="1231" t="str">
        <f>"Cost of Service Formula Rate Using "&amp;TCOS!L4&amp;" FF1 Balances"</f>
        <v>Cost of Service Formula Rate Using 2025 FF1 Balances</v>
      </c>
      <c r="C4" s="1231"/>
      <c r="D4" s="1231"/>
      <c r="E4" s="1231"/>
      <c r="F4" s="1231"/>
      <c r="G4" s="77"/>
      <c r="H4" s="206"/>
      <c r="I4" s="77"/>
      <c r="J4" s="77"/>
      <c r="K4" s="77"/>
      <c r="L4" s="77"/>
      <c r="M4" s="77"/>
      <c r="N4" s="77"/>
      <c r="O4" s="77"/>
      <c r="P4" s="77"/>
    </row>
    <row r="5" spans="1:27" ht="18">
      <c r="B5" s="1230" t="s">
        <v>549</v>
      </c>
      <c r="C5" s="1230"/>
      <c r="D5" s="1230"/>
      <c r="E5" s="1230"/>
      <c r="F5" s="1230"/>
      <c r="G5" s="124"/>
      <c r="H5" s="207"/>
      <c r="I5" s="124"/>
      <c r="J5" s="124"/>
      <c r="K5" s="124"/>
    </row>
    <row r="6" spans="1:27" ht="18">
      <c r="B6" s="1239" t="str">
        <f>+TCOS!F9</f>
        <v xml:space="preserve">Indiana Michigan Power Company </v>
      </c>
      <c r="C6" s="1230"/>
      <c r="D6" s="1230"/>
      <c r="E6" s="1230"/>
      <c r="F6" s="1230"/>
      <c r="G6" s="129"/>
      <c r="H6" s="208"/>
      <c r="I6" s="129"/>
      <c r="J6" s="129"/>
      <c r="K6" s="129"/>
    </row>
    <row r="8" spans="1:27" ht="18.75" customHeight="1">
      <c r="B8" s="13"/>
      <c r="C8" s="114"/>
      <c r="D8" s="115"/>
    </row>
    <row r="10" spans="1:27" ht="18">
      <c r="B10" s="5"/>
      <c r="C10" s="5"/>
      <c r="D10" s="5"/>
      <c r="E10" s="5"/>
      <c r="F10" s="5"/>
      <c r="R10" s="123"/>
      <c r="S10" s="123"/>
      <c r="T10" s="123"/>
      <c r="U10" s="123"/>
      <c r="V10" s="123"/>
      <c r="W10" s="123"/>
      <c r="X10" s="123"/>
      <c r="Y10" s="123"/>
      <c r="Z10" s="123"/>
      <c r="AA10" s="123"/>
    </row>
    <row r="11" spans="1:27">
      <c r="A11" s="657"/>
      <c r="B11" s="113"/>
      <c r="C11" s="115"/>
    </row>
    <row r="12" spans="1:27">
      <c r="A12" s="191"/>
      <c r="B12" s="9"/>
      <c r="C12" s="9"/>
      <c r="D12" s="9"/>
      <c r="E12" s="9"/>
      <c r="F12" s="9"/>
      <c r="G12" s="8"/>
    </row>
    <row r="13" spans="1:27">
      <c r="A13" s="192"/>
      <c r="B13" s="9"/>
      <c r="C13" s="9"/>
      <c r="D13" s="9"/>
      <c r="E13" s="9"/>
      <c r="F13" s="9"/>
      <c r="G13" s="8"/>
    </row>
    <row r="14" spans="1:27">
      <c r="A14" s="216"/>
      <c r="B14" s="9"/>
      <c r="C14" s="9"/>
      <c r="D14" s="9"/>
      <c r="E14" s="9"/>
      <c r="F14" s="9"/>
      <c r="H14" s="6"/>
    </row>
    <row r="15" spans="1:27">
      <c r="A15" s="216"/>
      <c r="B15" s="9"/>
      <c r="C15" s="9"/>
      <c r="D15" s="9"/>
      <c r="E15" s="9"/>
      <c r="F15" s="9"/>
      <c r="H15" s="6"/>
    </row>
    <row r="16" spans="1:27">
      <c r="A16" s="216"/>
      <c r="B16" s="9"/>
      <c r="C16" s="9"/>
      <c r="D16" s="9"/>
      <c r="E16" s="9"/>
      <c r="F16" s="9"/>
      <c r="H16" s="6"/>
    </row>
    <row r="17" spans="1:8" ht="12.75" customHeight="1">
      <c r="A17" s="216"/>
      <c r="B17" s="9"/>
      <c r="C17" s="9"/>
      <c r="D17" s="9"/>
      <c r="E17" s="9"/>
      <c r="F17" s="9"/>
      <c r="H17" s="6"/>
    </row>
    <row r="18" spans="1:8">
      <c r="A18" s="216"/>
      <c r="B18" s="9"/>
      <c r="C18" s="9"/>
      <c r="D18" s="9"/>
      <c r="E18" s="9"/>
      <c r="F18" s="9"/>
      <c r="H18" s="6"/>
    </row>
    <row r="19" spans="1:8">
      <c r="A19" s="216"/>
      <c r="B19" s="9"/>
      <c r="C19" s="9"/>
      <c r="D19" s="9"/>
      <c r="E19" s="9"/>
      <c r="F19" s="9"/>
      <c r="H19" s="6"/>
    </row>
    <row r="20" spans="1:8">
      <c r="A20" s="216"/>
      <c r="B20" s="9"/>
      <c r="C20" s="9"/>
      <c r="D20" s="9"/>
      <c r="E20" s="9"/>
      <c r="F20" s="9"/>
      <c r="H20" s="6"/>
    </row>
    <row r="21" spans="1:8">
      <c r="A21" s="216"/>
      <c r="B21" s="9"/>
      <c r="C21" s="9"/>
      <c r="D21" s="9"/>
      <c r="E21" s="9"/>
      <c r="F21" s="9"/>
      <c r="H21" s="6"/>
    </row>
    <row r="22" spans="1:8">
      <c r="A22" s="216"/>
      <c r="B22" s="9"/>
      <c r="C22" s="9"/>
      <c r="D22" s="9"/>
      <c r="E22" s="9"/>
      <c r="F22" s="9"/>
      <c r="H22" s="6"/>
    </row>
    <row r="23" spans="1:8" ht="12.75" customHeight="1">
      <c r="A23" s="216"/>
      <c r="B23" s="9"/>
      <c r="C23" s="9"/>
      <c r="D23" s="9"/>
      <c r="E23" s="9"/>
      <c r="F23" s="9"/>
      <c r="H23" s="6"/>
    </row>
    <row r="24" spans="1:8" ht="12.75" customHeight="1">
      <c r="A24" s="216"/>
      <c r="B24" s="9"/>
      <c r="C24" s="9"/>
      <c r="D24" s="9"/>
      <c r="E24" s="9"/>
      <c r="F24" s="9"/>
      <c r="H24" s="6"/>
    </row>
    <row r="25" spans="1:8" ht="12.75" customHeight="1">
      <c r="A25" s="216"/>
      <c r="B25" s="9"/>
      <c r="C25" s="9"/>
      <c r="D25" s="9"/>
      <c r="E25" s="9"/>
      <c r="F25" s="9"/>
      <c r="H25" s="6"/>
    </row>
    <row r="26" spans="1:8" ht="12.75" customHeight="1">
      <c r="A26" s="216"/>
      <c r="B26" s="9"/>
      <c r="C26" s="9"/>
      <c r="D26" s="9"/>
      <c r="E26" s="9"/>
      <c r="F26" s="9"/>
      <c r="H26" s="6"/>
    </row>
    <row r="27" spans="1:8" ht="12.75" customHeight="1">
      <c r="A27" s="216"/>
      <c r="B27" s="9"/>
      <c r="C27" s="9"/>
      <c r="D27" s="9"/>
      <c r="E27" s="9"/>
      <c r="F27" s="9"/>
      <c r="H27" s="6"/>
    </row>
    <row r="28" spans="1:8" ht="12.75" customHeight="1">
      <c r="A28" s="216"/>
      <c r="B28" s="9"/>
      <c r="C28" s="9"/>
      <c r="D28" s="9"/>
      <c r="E28" s="9"/>
      <c r="F28" s="9"/>
      <c r="H28" s="6"/>
    </row>
    <row r="29" spans="1:8" ht="12.75" customHeight="1">
      <c r="A29" s="216"/>
      <c r="B29" s="9"/>
      <c r="C29" s="9"/>
      <c r="D29" s="9"/>
      <c r="E29" s="9"/>
      <c r="F29" s="9"/>
      <c r="H29" s="6"/>
    </row>
    <row r="30" spans="1:8" ht="12.75" customHeight="1">
      <c r="A30" s="216"/>
      <c r="B30" s="9"/>
      <c r="C30" s="9"/>
      <c r="D30" s="9"/>
      <c r="E30" s="9"/>
      <c r="F30" s="9"/>
      <c r="H30" s="6"/>
    </row>
    <row r="31" spans="1:8" ht="12.75" customHeight="1">
      <c r="A31" s="216"/>
      <c r="B31" s="9"/>
      <c r="C31" s="9"/>
      <c r="D31" s="9"/>
      <c r="E31" s="9"/>
      <c r="F31" s="9"/>
      <c r="H31" s="6"/>
    </row>
    <row r="32" spans="1:8" ht="12.75" customHeight="1">
      <c r="A32" s="216"/>
      <c r="B32" s="9"/>
      <c r="C32" s="9"/>
      <c r="D32" s="9"/>
      <c r="E32" s="9"/>
      <c r="F32" s="9"/>
      <c r="H32" s="6"/>
    </row>
    <row r="33" spans="1:8" ht="12.75" customHeight="1">
      <c r="A33" s="216"/>
      <c r="B33" s="9"/>
      <c r="C33" s="9"/>
      <c r="D33" s="9"/>
      <c r="E33" s="9"/>
      <c r="F33" s="9"/>
      <c r="H33" s="6"/>
    </row>
    <row r="34" spans="1:8" ht="12.75" customHeight="1">
      <c r="A34" s="216"/>
      <c r="B34" s="9"/>
      <c r="C34" s="9"/>
      <c r="D34" s="9"/>
      <c r="E34" s="9"/>
      <c r="F34" s="9"/>
      <c r="H34" s="6"/>
    </row>
    <row r="35" spans="1:8" ht="12.75" customHeight="1">
      <c r="A35" s="216"/>
      <c r="B35" s="9"/>
      <c r="C35" s="9"/>
      <c r="D35" s="9"/>
      <c r="E35" s="9"/>
      <c r="F35" s="9"/>
      <c r="H35" s="6"/>
    </row>
    <row r="36" spans="1:8" ht="12.75" customHeight="1">
      <c r="A36" s="216"/>
      <c r="B36" s="9"/>
      <c r="C36" s="9"/>
      <c r="D36" s="9"/>
      <c r="E36" s="9"/>
      <c r="F36" s="9"/>
      <c r="H36" s="6"/>
    </row>
    <row r="37" spans="1:8" ht="12.75" customHeight="1">
      <c r="A37" s="216"/>
      <c r="B37" s="9"/>
      <c r="C37" s="9"/>
      <c r="D37" s="9"/>
      <c r="E37" s="9"/>
      <c r="F37" s="9"/>
      <c r="H37" s="6"/>
    </row>
    <row r="38" spans="1:8" ht="12.75" customHeight="1">
      <c r="A38" s="216"/>
      <c r="B38" s="9"/>
      <c r="C38" s="9"/>
      <c r="D38" s="9"/>
      <c r="E38" s="9"/>
      <c r="F38" s="9"/>
      <c r="H38" s="6"/>
    </row>
    <row r="39" spans="1:8" ht="12.75" customHeight="1">
      <c r="A39" s="216"/>
      <c r="B39" s="9"/>
      <c r="C39" s="9"/>
      <c r="D39" s="9"/>
      <c r="E39" s="9"/>
      <c r="F39" s="9"/>
      <c r="H39" s="6"/>
    </row>
    <row r="40" spans="1:8" ht="12.75" customHeight="1">
      <c r="A40" s="216"/>
      <c r="B40" s="9"/>
      <c r="C40" s="9"/>
      <c r="D40" s="9"/>
      <c r="E40" s="9"/>
      <c r="F40" s="9"/>
      <c r="H40" s="6"/>
    </row>
    <row r="41" spans="1:8" ht="12.75" customHeight="1">
      <c r="A41" s="216"/>
      <c r="B41" s="9"/>
      <c r="C41" s="9"/>
      <c r="D41" s="9"/>
      <c r="E41" s="9"/>
      <c r="F41" s="9"/>
      <c r="H41" s="6"/>
    </row>
    <row r="42" spans="1:8" ht="12.75" customHeight="1">
      <c r="A42" s="216"/>
      <c r="B42" s="9"/>
      <c r="C42" s="9"/>
      <c r="D42" s="9"/>
      <c r="E42" s="9"/>
      <c r="F42" s="9"/>
      <c r="H42" s="6"/>
    </row>
    <row r="43" spans="1:8" ht="12.6" customHeight="1">
      <c r="A43" s="216"/>
      <c r="B43" s="9"/>
      <c r="C43" s="9"/>
      <c r="D43" s="9"/>
      <c r="E43" s="9"/>
      <c r="F43" s="9"/>
      <c r="H43" s="6"/>
    </row>
    <row r="44" spans="1:8" ht="12.75" customHeight="1">
      <c r="A44" s="216"/>
      <c r="B44" s="9"/>
      <c r="C44" s="9"/>
      <c r="D44" s="9"/>
      <c r="E44" s="9"/>
      <c r="F44" s="9"/>
      <c r="H44" s="6"/>
    </row>
    <row r="45" spans="1:8">
      <c r="B45" s="9"/>
      <c r="C45" s="9"/>
      <c r="D45" s="9"/>
      <c r="E45" s="9"/>
      <c r="F45" s="9"/>
      <c r="H45" s="6"/>
    </row>
    <row r="46" spans="1:8">
      <c r="B46" s="9"/>
      <c r="C46" s="9"/>
      <c r="D46" s="9"/>
      <c r="E46" s="9"/>
      <c r="F46" s="9"/>
      <c r="H46" s="6"/>
    </row>
    <row r="47" spans="1:8">
      <c r="B47" s="9"/>
      <c r="C47" s="9"/>
      <c r="D47" s="9"/>
      <c r="E47" s="9"/>
      <c r="F47" s="9"/>
      <c r="H47" s="6"/>
    </row>
  </sheetData>
  <mergeCells count="4">
    <mergeCell ref="B6:F6"/>
    <mergeCell ref="B3:F3"/>
    <mergeCell ref="B4:F4"/>
    <mergeCell ref="B5:F5"/>
  </mergeCells>
  <phoneticPr fontId="0" type="noConversion"/>
  <pageMargins left="0.61" right="0.72" top="1" bottom="1" header="0.75" footer="0.5"/>
  <pageSetup scale="76" orientation="portrait" r:id="rId1"/>
  <headerFooter alignWithMargins="0">
    <oddHeader>&amp;R&amp;"Arial,Bold"Formula Rate 
&amp;A
Page &amp;P of &amp;N</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pageSetUpPr fitToPage="1"/>
  </sheetPr>
  <dimension ref="A1:L105"/>
  <sheetViews>
    <sheetView tabSelected="1" topLeftCell="A57" zoomScale="90" zoomScaleNormal="90" zoomScaleSheetLayoutView="70" zoomScalePageLayoutView="85" workbookViewId="0">
      <selection activeCell="D9" sqref="D9"/>
    </sheetView>
  </sheetViews>
  <sheetFormatPr defaultColWidth="11.42578125" defaultRowHeight="12.75"/>
  <cols>
    <col min="1" max="1" width="10.42578125" style="735" customWidth="1"/>
    <col min="2" max="2" width="52.42578125" style="14" customWidth="1"/>
    <col min="3" max="7" width="20.42578125" style="14" customWidth="1"/>
    <col min="8" max="8" width="23" style="14" customWidth="1"/>
    <col min="9" max="11" width="20.42578125" style="14" customWidth="1"/>
    <col min="12" max="12" width="20" style="14" customWidth="1"/>
    <col min="13" max="14" width="15.140625" style="14" customWidth="1"/>
    <col min="15" max="16384" width="11.42578125" style="14"/>
  </cols>
  <sheetData>
    <row r="1" spans="1:12" ht="15">
      <c r="A1" s="1230" t="s">
        <v>388</v>
      </c>
      <c r="B1" s="1230"/>
      <c r="C1" s="1230"/>
      <c r="D1" s="1230"/>
      <c r="E1" s="1230"/>
      <c r="F1" s="1230"/>
      <c r="G1" s="1230"/>
      <c r="H1" s="82"/>
    </row>
    <row r="2" spans="1:12" ht="15">
      <c r="A2" s="1231" t="str">
        <f>"Cost of Service Formula Rate Using Actual/Projected FF1 Balances"</f>
        <v>Cost of Service Formula Rate Using Actual/Projected FF1 Balances</v>
      </c>
      <c r="B2" s="1231"/>
      <c r="C2" s="1231"/>
      <c r="D2" s="1231"/>
      <c r="E2" s="1231"/>
      <c r="F2" s="1231"/>
      <c r="G2" s="1231"/>
      <c r="H2" s="716"/>
      <c r="I2" s="716"/>
      <c r="J2" s="716"/>
      <c r="L2" s="717"/>
    </row>
    <row r="3" spans="1:12" ht="15">
      <c r="A3" s="1231" t="s">
        <v>669</v>
      </c>
      <c r="B3" s="1231"/>
      <c r="C3" s="1231"/>
      <c r="D3" s="1231"/>
      <c r="E3" s="1231"/>
      <c r="F3" s="1231"/>
      <c r="G3" s="1231"/>
      <c r="H3" s="716"/>
      <c r="I3" s="716"/>
      <c r="J3" s="716"/>
    </row>
    <row r="4" spans="1:12" ht="15">
      <c r="A4" s="1232" t="str">
        <f>TCOS!F9</f>
        <v xml:space="preserve">Indiana Michigan Power Company </v>
      </c>
      <c r="B4" s="1232"/>
      <c r="C4" s="1232"/>
      <c r="D4" s="1232"/>
      <c r="E4" s="1232"/>
      <c r="F4" s="1232"/>
      <c r="G4" s="1232"/>
      <c r="H4" s="716"/>
      <c r="I4" s="716"/>
      <c r="J4" s="716"/>
    </row>
    <row r="5" spans="1:12">
      <c r="A5" s="716"/>
      <c r="B5" s="718"/>
      <c r="C5" s="718"/>
      <c r="D5" s="718"/>
      <c r="E5" s="719"/>
      <c r="F5" s="720"/>
      <c r="H5"/>
      <c r="I5"/>
      <c r="J5"/>
      <c r="K5"/>
      <c r="L5"/>
    </row>
    <row r="6" spans="1:12" ht="12.75" customHeight="1">
      <c r="A6" s="82"/>
      <c r="B6" s="706"/>
      <c r="C6" s="1290" t="s">
        <v>6</v>
      </c>
      <c r="D6" s="1291"/>
      <c r="E6" s="1291"/>
      <c r="F6" s="1291"/>
      <c r="G6" s="1292"/>
      <c r="H6" s="4"/>
      <c r="I6"/>
      <c r="J6"/>
      <c r="K6"/>
      <c r="L6"/>
    </row>
    <row r="7" spans="1:12" s="722" customFormat="1" ht="38.25">
      <c r="A7" s="705" t="s">
        <v>643</v>
      </c>
      <c r="B7" s="704" t="s">
        <v>642</v>
      </c>
      <c r="C7" s="690" t="s">
        <v>670</v>
      </c>
      <c r="D7" s="689" t="s">
        <v>369</v>
      </c>
      <c r="E7" s="689" t="s">
        <v>671</v>
      </c>
      <c r="F7" s="689" t="s">
        <v>672</v>
      </c>
      <c r="G7" s="721" t="s">
        <v>6</v>
      </c>
      <c r="H7" s="4"/>
      <c r="I7"/>
      <c r="J7"/>
      <c r="K7"/>
      <c r="L7"/>
    </row>
    <row r="8" spans="1:12" s="724" customFormat="1">
      <c r="A8" s="681"/>
      <c r="B8" s="686" t="s">
        <v>637</v>
      </c>
      <c r="C8" s="687" t="s">
        <v>636</v>
      </c>
      <c r="D8" s="685" t="s">
        <v>635</v>
      </c>
      <c r="E8" s="685" t="s">
        <v>634</v>
      </c>
      <c r="F8" s="685" t="s">
        <v>633</v>
      </c>
      <c r="G8" s="723" t="s">
        <v>673</v>
      </c>
      <c r="H8" s="4"/>
      <c r="I8"/>
      <c r="J8"/>
      <c r="K8"/>
      <c r="L8"/>
    </row>
    <row r="9" spans="1:12" s="724" customFormat="1" ht="44.25" customHeight="1">
      <c r="A9" s="681"/>
      <c r="B9" s="686" t="s">
        <v>632</v>
      </c>
      <c r="C9" s="725" t="s">
        <v>674</v>
      </c>
      <c r="D9" s="703" t="s">
        <v>675</v>
      </c>
      <c r="E9" s="703" t="s">
        <v>676</v>
      </c>
      <c r="F9" s="703" t="s">
        <v>677</v>
      </c>
      <c r="G9" s="726"/>
      <c r="H9" s="4"/>
      <c r="I9"/>
      <c r="J9"/>
      <c r="K9"/>
      <c r="L9"/>
    </row>
    <row r="10" spans="1:12">
      <c r="A10" s="681">
        <v>1</v>
      </c>
      <c r="B10" s="702" t="s">
        <v>630</v>
      </c>
      <c r="C10" s="727">
        <v>3396595148.2019973</v>
      </c>
      <c r="D10" s="727"/>
      <c r="E10" s="727">
        <v>-2086934.5</v>
      </c>
      <c r="F10" s="727">
        <v>327547.93000000063</v>
      </c>
      <c r="G10" s="728">
        <f t="shared" ref="G10:G22" si="0">+C10-D10-E10-F10</f>
        <v>3398354534.7719975</v>
      </c>
      <c r="H10" s="4"/>
      <c r="I10"/>
      <c r="J10"/>
      <c r="K10"/>
      <c r="L10"/>
    </row>
    <row r="11" spans="1:12">
      <c r="A11" s="681">
        <f t="shared" ref="A11:A23" si="1">+A10+1</f>
        <v>2</v>
      </c>
      <c r="B11" s="702" t="s">
        <v>186</v>
      </c>
      <c r="C11" s="727">
        <v>3451625779.6709981</v>
      </c>
      <c r="D11" s="727"/>
      <c r="E11" s="727">
        <v>-2086934.5</v>
      </c>
      <c r="F11" s="727">
        <v>363954.81000000052</v>
      </c>
      <c r="G11" s="728">
        <f t="shared" si="0"/>
        <v>3453348759.3609982</v>
      </c>
      <c r="H11" s="4"/>
      <c r="I11"/>
      <c r="J11"/>
      <c r="K11"/>
      <c r="L11"/>
    </row>
    <row r="12" spans="1:12">
      <c r="A12" s="681">
        <f t="shared" si="1"/>
        <v>3</v>
      </c>
      <c r="B12" s="701" t="s">
        <v>561</v>
      </c>
      <c r="C12" s="727">
        <v>3386547092.5830026</v>
      </c>
      <c r="D12" s="727"/>
      <c r="E12" s="727">
        <v>-2086934.5</v>
      </c>
      <c r="F12" s="727">
        <v>400361.70000000019</v>
      </c>
      <c r="G12" s="728">
        <f t="shared" si="0"/>
        <v>3388233665.3830028</v>
      </c>
      <c r="H12" s="4"/>
      <c r="I12"/>
      <c r="J12"/>
      <c r="K12"/>
      <c r="L12"/>
    </row>
    <row r="13" spans="1:12">
      <c r="A13" s="681">
        <f t="shared" si="1"/>
        <v>4</v>
      </c>
      <c r="B13" s="701" t="s">
        <v>629</v>
      </c>
      <c r="C13" s="727">
        <v>3404221561.1340003</v>
      </c>
      <c r="D13" s="727"/>
      <c r="E13" s="727">
        <v>-2086934.5</v>
      </c>
      <c r="F13" s="727">
        <v>468147.88000000082</v>
      </c>
      <c r="G13" s="728">
        <f t="shared" si="0"/>
        <v>3405840347.7540002</v>
      </c>
      <c r="H13" s="4"/>
      <c r="I13"/>
      <c r="J13"/>
      <c r="K13"/>
      <c r="L13"/>
    </row>
    <row r="14" spans="1:12">
      <c r="A14" s="681">
        <f t="shared" si="1"/>
        <v>5</v>
      </c>
      <c r="B14" s="701" t="s">
        <v>188</v>
      </c>
      <c r="C14" s="727">
        <v>3447094642.5420008</v>
      </c>
      <c r="D14" s="727"/>
      <c r="E14" s="727">
        <v>-2086934.5</v>
      </c>
      <c r="F14" s="727">
        <v>504554.77000000048</v>
      </c>
      <c r="G14" s="728">
        <f t="shared" si="0"/>
        <v>3448677022.2720008</v>
      </c>
      <c r="H14" s="4"/>
      <c r="I14"/>
      <c r="J14"/>
      <c r="K14"/>
      <c r="L14"/>
    </row>
    <row r="15" spans="1:12">
      <c r="A15" s="681">
        <f t="shared" si="1"/>
        <v>6</v>
      </c>
      <c r="B15" s="701" t="s">
        <v>189</v>
      </c>
      <c r="C15" s="727">
        <v>3458466939.5390024</v>
      </c>
      <c r="D15" s="727"/>
      <c r="E15" s="727">
        <v>-2086934.5</v>
      </c>
      <c r="F15" s="727">
        <v>540961.6400000006</v>
      </c>
      <c r="G15" s="728">
        <f t="shared" si="0"/>
        <v>3460012912.3990026</v>
      </c>
      <c r="H15" s="4"/>
      <c r="I15"/>
      <c r="J15"/>
      <c r="K15"/>
      <c r="L15"/>
    </row>
    <row r="16" spans="1:12">
      <c r="A16" s="681">
        <f t="shared" si="1"/>
        <v>7</v>
      </c>
      <c r="B16" s="701" t="s">
        <v>383</v>
      </c>
      <c r="C16" s="727">
        <v>3535949323.0690012</v>
      </c>
      <c r="D16" s="727"/>
      <c r="E16" s="727">
        <v>-2086934.5</v>
      </c>
      <c r="F16" s="727">
        <v>608747.83999999892</v>
      </c>
      <c r="G16" s="728">
        <f t="shared" si="0"/>
        <v>3537427509.729001</v>
      </c>
      <c r="H16" s="4"/>
      <c r="I16"/>
      <c r="J16"/>
      <c r="K16"/>
      <c r="L16"/>
    </row>
    <row r="17" spans="1:12">
      <c r="A17" s="681">
        <f t="shared" si="1"/>
        <v>8</v>
      </c>
      <c r="B17" s="701" t="s">
        <v>190</v>
      </c>
      <c r="C17" s="727">
        <v>3597277097.3660007</v>
      </c>
      <c r="D17" s="727"/>
      <c r="E17" s="727">
        <v>-2086934.5</v>
      </c>
      <c r="F17" s="727">
        <v>645154.72999999952</v>
      </c>
      <c r="G17" s="728">
        <f t="shared" si="0"/>
        <v>3598718877.1360006</v>
      </c>
      <c r="H17" s="4"/>
      <c r="I17"/>
      <c r="J17"/>
      <c r="K17"/>
      <c r="L17"/>
    </row>
    <row r="18" spans="1:12">
      <c r="A18" s="681">
        <f t="shared" si="1"/>
        <v>9</v>
      </c>
      <c r="B18" s="701" t="s">
        <v>628</v>
      </c>
      <c r="C18" s="727">
        <v>3633973601.7609987</v>
      </c>
      <c r="D18" s="727"/>
      <c r="E18" s="727">
        <v>-2086934.5</v>
      </c>
      <c r="F18" s="727">
        <v>681561.58999999892</v>
      </c>
      <c r="G18" s="728">
        <f t="shared" si="0"/>
        <v>3635378974.6709986</v>
      </c>
      <c r="H18" s="4"/>
      <c r="I18"/>
      <c r="J18"/>
      <c r="K18"/>
      <c r="L18"/>
    </row>
    <row r="19" spans="1:12">
      <c r="A19" s="681">
        <f t="shared" si="1"/>
        <v>10</v>
      </c>
      <c r="B19" s="701" t="s">
        <v>193</v>
      </c>
      <c r="C19" s="727">
        <v>3686996357.7359991</v>
      </c>
      <c r="D19" s="727"/>
      <c r="E19" s="727">
        <v>-2086934.5</v>
      </c>
      <c r="F19" s="727">
        <v>749347.80000000075</v>
      </c>
      <c r="G19" s="728">
        <f t="shared" si="0"/>
        <v>3688333944.4359989</v>
      </c>
      <c r="H19" s="4"/>
      <c r="I19"/>
      <c r="J19"/>
      <c r="K19"/>
      <c r="L19"/>
    </row>
    <row r="20" spans="1:12">
      <c r="A20" s="681">
        <f t="shared" si="1"/>
        <v>11</v>
      </c>
      <c r="B20" s="701" t="s">
        <v>562</v>
      </c>
      <c r="C20" s="727">
        <v>3706470923.355999</v>
      </c>
      <c r="D20" s="727"/>
      <c r="E20" s="727">
        <v>-2086934.5</v>
      </c>
      <c r="F20" s="727">
        <v>785754.67000000086</v>
      </c>
      <c r="G20" s="728">
        <f t="shared" si="0"/>
        <v>3707772103.1859989</v>
      </c>
      <c r="H20" s="4"/>
      <c r="I20"/>
      <c r="J20"/>
      <c r="K20"/>
      <c r="L20"/>
    </row>
    <row r="21" spans="1:12">
      <c r="A21" s="681">
        <f t="shared" si="1"/>
        <v>12</v>
      </c>
      <c r="B21" s="701" t="s">
        <v>563</v>
      </c>
      <c r="C21" s="727">
        <v>3729791161.1349969</v>
      </c>
      <c r="D21" s="727"/>
      <c r="E21" s="727">
        <v>-2086934.5</v>
      </c>
      <c r="F21" s="727">
        <v>822161.56000000052</v>
      </c>
      <c r="G21" s="728">
        <f t="shared" si="0"/>
        <v>3731055934.0749969</v>
      </c>
      <c r="H21" s="4"/>
      <c r="I21"/>
      <c r="J21"/>
      <c r="K21"/>
      <c r="L21"/>
    </row>
    <row r="22" spans="1:12">
      <c r="A22" s="680">
        <f t="shared" si="1"/>
        <v>13</v>
      </c>
      <c r="B22" s="700" t="s">
        <v>627</v>
      </c>
      <c r="C22" s="727">
        <v>3783679544.8529954</v>
      </c>
      <c r="D22" s="727"/>
      <c r="E22" s="727">
        <v>-2086934.5</v>
      </c>
      <c r="F22" s="727">
        <v>2341765.7700000005</v>
      </c>
      <c r="G22" s="728">
        <f t="shared" si="0"/>
        <v>3783424713.5829954</v>
      </c>
      <c r="H22" s="4"/>
      <c r="I22"/>
      <c r="J22"/>
      <c r="K22"/>
      <c r="L22"/>
    </row>
    <row r="23" spans="1:12" ht="13.5" thickBot="1">
      <c r="A23" s="699">
        <f t="shared" si="1"/>
        <v>14</v>
      </c>
      <c r="B23" s="698" t="s">
        <v>854</v>
      </c>
      <c r="C23" s="677">
        <f>SUM(C10:C22)/13</f>
        <v>3555283782.5343838</v>
      </c>
      <c r="D23" s="676">
        <f>SUM(D10:D22)/13</f>
        <v>0</v>
      </c>
      <c r="E23" s="676">
        <f>SUM(E10:E22)/13</f>
        <v>-2086934.5</v>
      </c>
      <c r="F23" s="676">
        <f>SUM(F10:F22)/13</f>
        <v>710770.97615384636</v>
      </c>
      <c r="G23" s="729">
        <f>SUM(G10:G22)/13</f>
        <v>3556659946.0582299</v>
      </c>
      <c r="H23" s="4"/>
      <c r="I23"/>
      <c r="J23"/>
      <c r="K23"/>
      <c r="L23"/>
    </row>
    <row r="24" spans="1:12" ht="13.5" thickTop="1">
      <c r="A24" s="82"/>
      <c r="B24" s="675"/>
      <c r="C24" s="696"/>
      <c r="D24" s="674"/>
      <c r="E24" s="674"/>
      <c r="F24" s="674"/>
      <c r="G24" s="696"/>
      <c r="H24" s="696"/>
      <c r="I24"/>
      <c r="J24"/>
      <c r="K24"/>
      <c r="L24"/>
    </row>
    <row r="25" spans="1:12" ht="12.75" customHeight="1">
      <c r="A25" s="82"/>
      <c r="B25" s="706"/>
      <c r="C25" s="1293" t="s">
        <v>678</v>
      </c>
      <c r="D25" s="1294"/>
      <c r="E25" s="1294"/>
      <c r="F25" s="1294"/>
      <c r="G25" s="1294"/>
      <c r="H25" s="1295"/>
      <c r="I25"/>
      <c r="J25"/>
      <c r="K25"/>
      <c r="L25"/>
    </row>
    <row r="26" spans="1:12" s="722" customFormat="1" ht="38.25">
      <c r="A26" s="705" t="s">
        <v>643</v>
      </c>
      <c r="B26" s="704" t="s">
        <v>642</v>
      </c>
      <c r="C26" s="690" t="s">
        <v>690</v>
      </c>
      <c r="D26" s="689" t="s">
        <v>689</v>
      </c>
      <c r="E26" s="689" t="s">
        <v>688</v>
      </c>
      <c r="F26" s="689" t="s">
        <v>687</v>
      </c>
      <c r="G26" s="689" t="s">
        <v>679</v>
      </c>
      <c r="H26" s="721" t="s">
        <v>623</v>
      </c>
      <c r="I26"/>
      <c r="J26"/>
      <c r="K26"/>
      <c r="L26"/>
    </row>
    <row r="27" spans="1:12" s="724" customFormat="1">
      <c r="A27" s="681"/>
      <c r="B27" s="686" t="s">
        <v>637</v>
      </c>
      <c r="C27" s="687" t="s">
        <v>636</v>
      </c>
      <c r="D27" s="685" t="s">
        <v>635</v>
      </c>
      <c r="E27" s="685" t="s">
        <v>634</v>
      </c>
      <c r="F27" s="685" t="s">
        <v>633</v>
      </c>
      <c r="G27" s="685" t="s">
        <v>655</v>
      </c>
      <c r="H27" s="723" t="s">
        <v>680</v>
      </c>
      <c r="I27"/>
      <c r="J27"/>
      <c r="K27"/>
      <c r="L27"/>
    </row>
    <row r="28" spans="1:12" s="724" customFormat="1" ht="44.25" customHeight="1">
      <c r="A28" s="681"/>
      <c r="B28" s="686" t="s">
        <v>632</v>
      </c>
      <c r="C28" s="725" t="s">
        <v>681</v>
      </c>
      <c r="D28" s="703" t="s">
        <v>682</v>
      </c>
      <c r="E28" s="703" t="s">
        <v>683</v>
      </c>
      <c r="F28" s="703" t="s">
        <v>684</v>
      </c>
      <c r="G28" s="703" t="s">
        <v>685</v>
      </c>
      <c r="H28" s="730"/>
      <c r="I28"/>
      <c r="J28"/>
      <c r="K28"/>
      <c r="L28"/>
    </row>
    <row r="29" spans="1:12">
      <c r="A29" s="681">
        <f>+A23+1</f>
        <v>15</v>
      </c>
      <c r="B29" s="702" t="s">
        <v>630</v>
      </c>
      <c r="C29" s="727"/>
      <c r="D29" s="727"/>
      <c r="E29" s="727"/>
      <c r="F29" s="727">
        <v>3065215584</v>
      </c>
      <c r="G29" s="727"/>
      <c r="H29" s="728">
        <f t="shared" ref="H29:H41" si="2">+C29-D29+E29+F29-G29</f>
        <v>3065215584</v>
      </c>
      <c r="I29"/>
      <c r="J29"/>
      <c r="K29"/>
      <c r="L29"/>
    </row>
    <row r="30" spans="1:12">
      <c r="A30" s="681">
        <f t="shared" ref="A30:A42" si="3">+A29+1</f>
        <v>16</v>
      </c>
      <c r="B30" s="702" t="s">
        <v>186</v>
      </c>
      <c r="C30" s="727"/>
      <c r="D30" s="727"/>
      <c r="E30" s="727"/>
      <c r="F30" s="727">
        <v>3065000000</v>
      </c>
      <c r="G30" s="727"/>
      <c r="H30" s="728">
        <f t="shared" si="2"/>
        <v>3065000000</v>
      </c>
      <c r="I30"/>
      <c r="J30"/>
      <c r="K30"/>
      <c r="L30"/>
    </row>
    <row r="31" spans="1:12">
      <c r="A31" s="681">
        <f t="shared" si="3"/>
        <v>17</v>
      </c>
      <c r="B31" s="701" t="s">
        <v>561</v>
      </c>
      <c r="C31" s="727"/>
      <c r="D31" s="727"/>
      <c r="E31" s="727"/>
      <c r="F31" s="727">
        <v>3065000000</v>
      </c>
      <c r="G31" s="727"/>
      <c r="H31" s="728">
        <f t="shared" si="2"/>
        <v>3065000000</v>
      </c>
      <c r="I31"/>
      <c r="J31"/>
      <c r="K31"/>
      <c r="L31"/>
    </row>
    <row r="32" spans="1:12">
      <c r="A32" s="681">
        <f t="shared" si="3"/>
        <v>18</v>
      </c>
      <c r="B32" s="701" t="s">
        <v>629</v>
      </c>
      <c r="C32" s="727"/>
      <c r="D32" s="727"/>
      <c r="E32" s="727"/>
      <c r="F32" s="727">
        <v>3065000000</v>
      </c>
      <c r="G32" s="727"/>
      <c r="H32" s="728">
        <f t="shared" si="2"/>
        <v>3065000000</v>
      </c>
      <c r="I32"/>
      <c r="J32"/>
      <c r="K32"/>
      <c r="L32"/>
    </row>
    <row r="33" spans="1:12">
      <c r="A33" s="681">
        <f t="shared" si="3"/>
        <v>19</v>
      </c>
      <c r="B33" s="701" t="s">
        <v>188</v>
      </c>
      <c r="C33" s="727"/>
      <c r="D33" s="727"/>
      <c r="E33" s="727"/>
      <c r="F33" s="727">
        <v>3025000000</v>
      </c>
      <c r="G33" s="727"/>
      <c r="H33" s="728">
        <f t="shared" si="2"/>
        <v>3025000000</v>
      </c>
      <c r="I33"/>
      <c r="J33"/>
      <c r="K33"/>
      <c r="L33"/>
    </row>
    <row r="34" spans="1:12">
      <c r="A34" s="681">
        <f t="shared" si="3"/>
        <v>20</v>
      </c>
      <c r="B34" s="701" t="s">
        <v>189</v>
      </c>
      <c r="C34" s="727"/>
      <c r="D34" s="727"/>
      <c r="E34" s="727"/>
      <c r="F34" s="727">
        <v>3025000000</v>
      </c>
      <c r="G34" s="727"/>
      <c r="H34" s="728">
        <f t="shared" si="2"/>
        <v>3025000000</v>
      </c>
      <c r="I34"/>
      <c r="J34"/>
      <c r="K34"/>
      <c r="L34"/>
    </row>
    <row r="35" spans="1:12">
      <c r="A35" s="681">
        <f t="shared" si="3"/>
        <v>21</v>
      </c>
      <c r="B35" s="701" t="s">
        <v>383</v>
      </c>
      <c r="C35" s="727"/>
      <c r="D35" s="727"/>
      <c r="E35" s="727"/>
      <c r="F35" s="727">
        <v>3025000000</v>
      </c>
      <c r="G35" s="727"/>
      <c r="H35" s="728">
        <f t="shared" si="2"/>
        <v>3025000000</v>
      </c>
      <c r="I35"/>
      <c r="J35"/>
      <c r="K35"/>
      <c r="L35"/>
    </row>
    <row r="36" spans="1:12">
      <c r="A36" s="681">
        <f t="shared" si="3"/>
        <v>22</v>
      </c>
      <c r="B36" s="701" t="s">
        <v>190</v>
      </c>
      <c r="C36" s="727"/>
      <c r="D36" s="727"/>
      <c r="E36" s="727"/>
      <c r="F36" s="727">
        <v>3025000000</v>
      </c>
      <c r="G36" s="727"/>
      <c r="H36" s="728">
        <f t="shared" si="2"/>
        <v>3025000000</v>
      </c>
      <c r="I36"/>
      <c r="J36"/>
      <c r="K36"/>
      <c r="L36"/>
    </row>
    <row r="37" spans="1:12">
      <c r="A37" s="681">
        <f t="shared" si="3"/>
        <v>23</v>
      </c>
      <c r="B37" s="701" t="s">
        <v>628</v>
      </c>
      <c r="C37" s="727"/>
      <c r="D37" s="727"/>
      <c r="E37" s="727"/>
      <c r="F37" s="727">
        <v>3025000000</v>
      </c>
      <c r="G37" s="727"/>
      <c r="H37" s="728">
        <f t="shared" si="2"/>
        <v>3025000000</v>
      </c>
      <c r="I37"/>
      <c r="J37"/>
      <c r="K37"/>
      <c r="L37"/>
    </row>
    <row r="38" spans="1:12">
      <c r="A38" s="681">
        <f t="shared" si="3"/>
        <v>24</v>
      </c>
      <c r="B38" s="701" t="s">
        <v>193</v>
      </c>
      <c r="C38" s="727"/>
      <c r="D38" s="727"/>
      <c r="E38" s="727"/>
      <c r="F38" s="727">
        <v>3025000000</v>
      </c>
      <c r="G38" s="727"/>
      <c r="H38" s="728">
        <f t="shared" si="2"/>
        <v>3025000000</v>
      </c>
      <c r="I38"/>
      <c r="J38"/>
      <c r="K38" s="387"/>
      <c r="L38"/>
    </row>
    <row r="39" spans="1:12">
      <c r="A39" s="681">
        <f t="shared" si="3"/>
        <v>25</v>
      </c>
      <c r="B39" s="701" t="s">
        <v>562</v>
      </c>
      <c r="C39" s="727"/>
      <c r="D39" s="727"/>
      <c r="E39" s="727"/>
      <c r="F39" s="727">
        <v>3025000000</v>
      </c>
      <c r="G39" s="727"/>
      <c r="H39" s="728">
        <f t="shared" si="2"/>
        <v>3025000000</v>
      </c>
      <c r="I39"/>
      <c r="J39"/>
      <c r="K39"/>
      <c r="L39"/>
    </row>
    <row r="40" spans="1:12">
      <c r="A40" s="681">
        <f t="shared" si="3"/>
        <v>26</v>
      </c>
      <c r="B40" s="701" t="s">
        <v>563</v>
      </c>
      <c r="C40" s="727"/>
      <c r="D40" s="727"/>
      <c r="E40" s="727"/>
      <c r="F40" s="727">
        <v>3025000000</v>
      </c>
      <c r="G40" s="727"/>
      <c r="H40" s="728">
        <f t="shared" si="2"/>
        <v>3025000000</v>
      </c>
      <c r="I40"/>
      <c r="J40"/>
      <c r="K40"/>
      <c r="L40"/>
    </row>
    <row r="41" spans="1:12">
      <c r="A41" s="680">
        <f t="shared" si="3"/>
        <v>27</v>
      </c>
      <c r="B41" s="700" t="s">
        <v>627</v>
      </c>
      <c r="C41" s="727"/>
      <c r="D41" s="727"/>
      <c r="E41" s="727"/>
      <c r="F41" s="727">
        <v>3025000000</v>
      </c>
      <c r="G41" s="727"/>
      <c r="H41" s="728">
        <f t="shared" si="2"/>
        <v>3025000000</v>
      </c>
      <c r="I41"/>
      <c r="J41"/>
      <c r="K41"/>
      <c r="L41"/>
    </row>
    <row r="42" spans="1:12" ht="13.5" thickBot="1">
      <c r="A42" s="699">
        <f t="shared" si="3"/>
        <v>28</v>
      </c>
      <c r="B42" s="698" t="s">
        <v>854</v>
      </c>
      <c r="C42" s="677">
        <f t="shared" ref="C42:H42" si="4">SUM(C29:C41)/13</f>
        <v>0</v>
      </c>
      <c r="D42" s="676">
        <f t="shared" si="4"/>
        <v>0</v>
      </c>
      <c r="E42" s="676">
        <f t="shared" si="4"/>
        <v>0</v>
      </c>
      <c r="F42" s="676">
        <f t="shared" si="4"/>
        <v>3037324275.6923075</v>
      </c>
      <c r="G42" s="676">
        <f t="shared" si="4"/>
        <v>0</v>
      </c>
      <c r="H42" s="729">
        <f t="shared" si="4"/>
        <v>3037324275.6923075</v>
      </c>
      <c r="I42"/>
      <c r="J42"/>
      <c r="K42"/>
      <c r="L42"/>
    </row>
    <row r="43" spans="1:12" ht="13.5" thickTop="1">
      <c r="A43" s="716"/>
      <c r="B43" s="731"/>
      <c r="C43" s="732"/>
      <c r="D43" s="733"/>
      <c r="E43" s="733"/>
      <c r="F43" s="733"/>
      <c r="G43" s="732"/>
      <c r="H43" s="732"/>
      <c r="I43"/>
      <c r="J43"/>
      <c r="K43"/>
      <c r="L43"/>
    </row>
    <row r="44" spans="1:12" ht="12.75" customHeight="1">
      <c r="A44" s="734" t="s">
        <v>686</v>
      </c>
      <c r="F44" s="415"/>
      <c r="G44" s="415"/>
      <c r="H44" s="415"/>
      <c r="I44"/>
      <c r="J44"/>
      <c r="K44"/>
    </row>
    <row r="45" spans="1:12">
      <c r="E45" s="415"/>
      <c r="F45" s="415"/>
      <c r="G45" s="415"/>
      <c r="H45" s="415"/>
      <c r="J45" s="731"/>
    </row>
    <row r="46" spans="1:12" ht="15">
      <c r="A46" s="736" t="s">
        <v>7</v>
      </c>
      <c r="E46" s="415"/>
      <c r="F46" s="415"/>
      <c r="G46" s="415"/>
      <c r="H46" s="82"/>
    </row>
    <row r="47" spans="1:12" ht="15">
      <c r="A47" s="736"/>
      <c r="B47" s="737" t="s">
        <v>637</v>
      </c>
      <c r="C47" s="737" t="s">
        <v>636</v>
      </c>
      <c r="D47" s="738" t="s">
        <v>635</v>
      </c>
      <c r="E47" s="737" t="s">
        <v>634</v>
      </c>
      <c r="F47" s="738" t="s">
        <v>633</v>
      </c>
      <c r="G47" s="737" t="s">
        <v>655</v>
      </c>
      <c r="H47" s="737" t="s">
        <v>656</v>
      </c>
    </row>
    <row r="48" spans="1:12">
      <c r="A48" s="465">
        <f>+A42+1</f>
        <v>29</v>
      </c>
      <c r="B48" s="739" t="str">
        <f>"Annual Interest Expense for "&amp;TCOS!L4</f>
        <v>Annual Interest Expense for 2025</v>
      </c>
      <c r="C48" s="740"/>
      <c r="D48" s="741"/>
      <c r="E48" s="742"/>
      <c r="F48" s="742"/>
      <c r="G48" s="742"/>
      <c r="H48" s="742"/>
      <c r="I48" s="742"/>
      <c r="J48" s="742"/>
      <c r="K48" s="742"/>
      <c r="L48" s="742"/>
    </row>
    <row r="49" spans="1:12">
      <c r="A49" s="465">
        <f t="shared" ref="A49:A56" si="5">+A48+1</f>
        <v>30</v>
      </c>
      <c r="B49" s="852" t="s">
        <v>758</v>
      </c>
      <c r="C49" s="740"/>
      <c r="D49" s="741"/>
      <c r="E49" s="744">
        <v>135756480.75999999</v>
      </c>
      <c r="F49" s="742"/>
      <c r="G49" s="742"/>
      <c r="H49" s="742"/>
      <c r="I49" s="742"/>
      <c r="J49" s="742"/>
      <c r="K49" s="742"/>
      <c r="L49" s="742"/>
    </row>
    <row r="50" spans="1:12" ht="28.5" customHeight="1">
      <c r="A50" s="465">
        <f t="shared" si="5"/>
        <v>31</v>
      </c>
      <c r="B50" s="1285" t="str">
        <f>"Less: Total Hedge Gain/Expense Accumulated from p 256-257, col. (i) of FERC Form 1  included in Ln "&amp;A49&amp;" and shown in "&amp;A74&amp;" below."</f>
        <v>Less: Total Hedge Gain/Expense Accumulated from p 256-257, col. (i) of FERC Form 1  included in Ln 30 and shown in 50 below.</v>
      </c>
      <c r="C50" s="1286"/>
      <c r="D50" s="741"/>
      <c r="E50" s="740">
        <f>+C74</f>
        <v>553015.59708859259</v>
      </c>
      <c r="F50" s="742"/>
      <c r="G50" s="742"/>
      <c r="H50" s="742"/>
      <c r="I50" s="742"/>
      <c r="J50" s="742"/>
      <c r="K50" s="742"/>
      <c r="L50" s="742"/>
    </row>
    <row r="51" spans="1:12" ht="16.5" customHeight="1">
      <c r="A51" s="465">
        <f t="shared" si="5"/>
        <v>32</v>
      </c>
      <c r="B51" s="745" t="str">
        <f>"Plus:  Allowed Hedge Recovery From Ln "&amp;A80&amp;"  below."</f>
        <v>Plus:  Allowed Hedge Recovery From Ln 55  below.</v>
      </c>
      <c r="C51" s="853"/>
      <c r="D51" s="741"/>
      <c r="E51" s="746">
        <f>+E80</f>
        <v>553015.59708859259</v>
      </c>
      <c r="F51" s="742"/>
      <c r="G51" s="742"/>
      <c r="H51" s="742"/>
      <c r="I51" s="742"/>
      <c r="J51" s="742"/>
      <c r="K51" s="742"/>
      <c r="L51" s="742"/>
    </row>
    <row r="52" spans="1:12">
      <c r="A52" s="465">
        <f t="shared" si="5"/>
        <v>33</v>
      </c>
      <c r="B52" s="852" t="s">
        <v>759</v>
      </c>
      <c r="C52" s="742"/>
      <c r="D52" s="742"/>
      <c r="E52" s="744">
        <v>1959958.74</v>
      </c>
      <c r="F52" s="742"/>
      <c r="G52" s="742"/>
      <c r="H52" s="742"/>
      <c r="I52" s="742"/>
      <c r="J52" s="742"/>
    </row>
    <row r="53" spans="1:12">
      <c r="A53" s="465">
        <f t="shared" si="5"/>
        <v>34</v>
      </c>
      <c r="B53" s="852" t="s">
        <v>760</v>
      </c>
      <c r="C53" s="747"/>
      <c r="D53" s="741"/>
      <c r="E53" s="744">
        <v>739444.62</v>
      </c>
      <c r="F53" s="742"/>
      <c r="G53" s="742"/>
      <c r="H53" s="742"/>
      <c r="I53" s="742"/>
      <c r="J53" s="742"/>
    </row>
    <row r="54" spans="1:12">
      <c r="A54" s="465">
        <f t="shared" si="5"/>
        <v>35</v>
      </c>
      <c r="B54" s="852" t="s">
        <v>761</v>
      </c>
      <c r="C54" s="747"/>
      <c r="D54" s="741"/>
      <c r="E54" s="744"/>
      <c r="F54" s="742"/>
      <c r="G54" s="742"/>
      <c r="H54" s="742"/>
      <c r="I54" s="742"/>
      <c r="J54" s="742"/>
    </row>
    <row r="55" spans="1:12" ht="13.5" thickBot="1">
      <c r="A55" s="465">
        <f t="shared" si="5"/>
        <v>36</v>
      </c>
      <c r="B55" s="852" t="s">
        <v>762</v>
      </c>
      <c r="C55" s="747"/>
      <c r="D55" s="741"/>
      <c r="E55" s="748">
        <v>0</v>
      </c>
      <c r="F55" s="742"/>
      <c r="G55" s="742"/>
      <c r="H55" s="742"/>
      <c r="I55" s="742"/>
      <c r="J55" s="742"/>
    </row>
    <row r="56" spans="1:12">
      <c r="A56" s="465">
        <f t="shared" si="5"/>
        <v>37</v>
      </c>
      <c r="B56" s="739" t="str">
        <f>"Total Interest Expense (Ln "&amp;A49&amp;" - "&amp;A50&amp;" + "&amp;A52&amp;" + "&amp;A53&amp;" - "&amp;A54&amp;" - "&amp;A55&amp;")"</f>
        <v>Total Interest Expense (Ln 30 - 31 + 33 + 34 - 35 - 36)</v>
      </c>
      <c r="C56" s="749"/>
      <c r="D56" s="750"/>
      <c r="E56" s="751">
        <f>+E49-E50+E51+E52+E53-E54-E55</f>
        <v>138455884.12</v>
      </c>
      <c r="F56" s="742"/>
      <c r="G56" s="742"/>
      <c r="H56" s="742"/>
      <c r="I56" s="742"/>
      <c r="J56" s="742"/>
    </row>
    <row r="57" spans="1:12" ht="13.5" thickBot="1">
      <c r="A57" s="465"/>
      <c r="B57" s="743"/>
      <c r="C57" s="747"/>
      <c r="D57" s="741"/>
      <c r="E57" s="751"/>
      <c r="F57" s="742"/>
      <c r="G57" s="742"/>
      <c r="H57" s="742"/>
      <c r="I57" s="742"/>
      <c r="J57" s="742"/>
    </row>
    <row r="58" spans="1:12" ht="13.5" thickBot="1">
      <c r="A58" s="465">
        <f>+A56+1</f>
        <v>38</v>
      </c>
      <c r="B58" s="739" t="str">
        <f>"Average Cost of Debt for "&amp;TCOS!L4&amp;" (Ln "&amp;A56&amp;"/ ln "&amp;A42&amp;" (g))"</f>
        <v>Average Cost of Debt for 2025 (Ln 37/ ln 28 (g))</v>
      </c>
      <c r="C58" s="749"/>
      <c r="D58" s="741"/>
      <c r="E58" s="752">
        <f>+E56/H42</f>
        <v>4.5584821228362681E-2</v>
      </c>
      <c r="F58" s="742"/>
      <c r="G58" s="742"/>
      <c r="H58" s="742"/>
      <c r="I58" s="742"/>
      <c r="J58" s="742"/>
    </row>
    <row r="59" spans="1:12">
      <c r="A59" s="753"/>
      <c r="B59" s="743"/>
      <c r="C59" s="747"/>
      <c r="D59" s="741"/>
      <c r="E59" s="747"/>
      <c r="F59" s="742"/>
      <c r="G59" s="742"/>
      <c r="H59" s="742"/>
      <c r="I59" s="742"/>
      <c r="J59" s="742"/>
    </row>
    <row r="60" spans="1:12" s="754" customFormat="1" ht="28.5" customHeight="1">
      <c r="A60" s="558"/>
      <c r="B60" s="1287" t="s">
        <v>0</v>
      </c>
      <c r="C60" s="1287"/>
      <c r="D60" s="1287"/>
      <c r="E60" s="1287"/>
      <c r="F60" s="559"/>
    </row>
    <row r="61" spans="1:12" s="754" customFormat="1" ht="107.25" customHeight="1">
      <c r="A61" s="560">
        <f>+A58+1</f>
        <v>39</v>
      </c>
      <c r="B61" s="1288" t="s">
        <v>313</v>
      </c>
      <c r="C61" s="1264"/>
      <c r="D61" s="1264"/>
      <c r="E61" s="1264"/>
      <c r="F61" s="415"/>
    </row>
    <row r="62" spans="1:12" s="754" customFormat="1" ht="12" customHeight="1">
      <c r="A62" s="558"/>
      <c r="B62" s="561"/>
      <c r="C62" s="561"/>
      <c r="D62" s="561"/>
      <c r="E62" s="561"/>
      <c r="G62" s="1289" t="s">
        <v>233</v>
      </c>
      <c r="H62" s="1289"/>
    </row>
    <row r="63" spans="1:12" s="754" customFormat="1" ht="52.5" customHeight="1">
      <c r="A63" s="423"/>
      <c r="B63" s="1093" t="s">
        <v>360</v>
      </c>
      <c r="C63" s="755" t="str">
        <f>"Total Hedge (Gain)/Loss for "&amp;TCOS!L4</f>
        <v>Total Hedge (Gain)/Loss for 2025</v>
      </c>
      <c r="D63" s="755" t="str">
        <f>"Less Excludable Amounts (See NOTE on Line "&amp;A61&amp;")"</f>
        <v>Less Excludable Amounts (See NOTE on Line 39)</v>
      </c>
      <c r="E63" s="755" t="s">
        <v>1</v>
      </c>
      <c r="F63" s="755" t="s">
        <v>232</v>
      </c>
      <c r="G63" s="755" t="s">
        <v>284</v>
      </c>
      <c r="H63" s="755" t="s">
        <v>286</v>
      </c>
    </row>
    <row r="64" spans="1:12" s="754" customFormat="1" ht="12.75" customHeight="1">
      <c r="A64" s="423">
        <f>+A61+1</f>
        <v>40</v>
      </c>
      <c r="B64" s="756" t="s">
        <v>1473</v>
      </c>
      <c r="C64" s="658">
        <v>421740.06860757992</v>
      </c>
      <c r="D64" s="658">
        <v>0</v>
      </c>
      <c r="E64" s="757">
        <f>+C64-D64</f>
        <v>421740.06860757992</v>
      </c>
      <c r="F64" s="658">
        <v>4691860.9113924047</v>
      </c>
      <c r="G64" s="758">
        <v>39035</v>
      </c>
      <c r="H64" s="758">
        <v>50099</v>
      </c>
      <c r="I64"/>
      <c r="J64"/>
    </row>
    <row r="65" spans="1:8" s="754" customFormat="1" ht="12.75" customHeight="1">
      <c r="A65" s="423">
        <f t="shared" ref="A65:A74" si="6">+A64+1</f>
        <v>41</v>
      </c>
      <c r="B65" s="756" t="s">
        <v>1474</v>
      </c>
      <c r="C65" s="658">
        <v>131275.52848101268</v>
      </c>
      <c r="D65" s="658">
        <v>0</v>
      </c>
      <c r="E65" s="757">
        <f>+C65-D65</f>
        <v>131275.52848101268</v>
      </c>
      <c r="F65" s="658">
        <v>940807.72151898732</v>
      </c>
      <c r="G65" s="758">
        <v>45016</v>
      </c>
      <c r="H65" s="758">
        <v>48638</v>
      </c>
    </row>
    <row r="66" spans="1:8" s="754" customFormat="1" ht="12.75" customHeight="1">
      <c r="A66" s="423">
        <f t="shared" si="6"/>
        <v>42</v>
      </c>
      <c r="B66" s="756"/>
      <c r="C66" s="658"/>
      <c r="D66" s="658"/>
      <c r="E66" s="757"/>
      <c r="F66" s="658"/>
      <c r="G66" s="758"/>
      <c r="H66" s="758"/>
    </row>
    <row r="67" spans="1:8" s="754" customFormat="1" ht="12.75" customHeight="1">
      <c r="A67" s="423">
        <f t="shared" si="6"/>
        <v>43</v>
      </c>
      <c r="B67" s="756"/>
      <c r="C67" s="658"/>
      <c r="D67" s="658"/>
      <c r="E67" s="757"/>
      <c r="F67" s="658"/>
      <c r="G67" s="758"/>
      <c r="H67" s="758"/>
    </row>
    <row r="68" spans="1:8" s="754" customFormat="1" ht="12.75" customHeight="1">
      <c r="A68" s="423">
        <f t="shared" si="6"/>
        <v>44</v>
      </c>
      <c r="B68" s="756"/>
      <c r="C68" s="658"/>
      <c r="D68" s="658"/>
      <c r="E68" s="757"/>
      <c r="F68" s="658"/>
      <c r="G68" s="758"/>
      <c r="H68" s="758"/>
    </row>
    <row r="69" spans="1:8" s="754" customFormat="1" ht="12.75" customHeight="1">
      <c r="A69" s="423">
        <f t="shared" si="6"/>
        <v>45</v>
      </c>
      <c r="B69" s="756"/>
      <c r="C69" s="658"/>
      <c r="D69" s="756"/>
      <c r="E69" s="757">
        <f t="shared" ref="E69:E72" si="7">+C69-D69</f>
        <v>0</v>
      </c>
      <c r="F69" s="658"/>
      <c r="G69" s="758"/>
      <c r="H69" s="758"/>
    </row>
    <row r="70" spans="1:8" s="754" customFormat="1" ht="12.75" customHeight="1">
      <c r="A70" s="423">
        <f t="shared" si="6"/>
        <v>46</v>
      </c>
      <c r="B70" s="756"/>
      <c r="C70" s="658"/>
      <c r="D70" s="756"/>
      <c r="E70" s="757">
        <f t="shared" si="7"/>
        <v>0</v>
      </c>
      <c r="F70" s="658"/>
      <c r="G70" s="758"/>
      <c r="H70" s="758"/>
    </row>
    <row r="71" spans="1:8" s="754" customFormat="1" ht="12.75" customHeight="1">
      <c r="A71" s="423">
        <f t="shared" si="6"/>
        <v>47</v>
      </c>
      <c r="B71" s="756"/>
      <c r="C71" s="658"/>
      <c r="D71" s="759"/>
      <c r="E71" s="757">
        <f t="shared" si="7"/>
        <v>0</v>
      </c>
      <c r="F71" s="658"/>
      <c r="G71" s="758"/>
      <c r="H71" s="758"/>
    </row>
    <row r="72" spans="1:8" s="754" customFormat="1" ht="12.75" customHeight="1">
      <c r="A72" s="423">
        <f t="shared" si="6"/>
        <v>48</v>
      </c>
      <c r="B72" s="756"/>
      <c r="C72" s="658"/>
      <c r="D72" s="744"/>
      <c r="E72" s="757">
        <f t="shared" si="7"/>
        <v>0</v>
      </c>
      <c r="F72" s="760"/>
      <c r="G72" s="760"/>
      <c r="H72" s="760"/>
    </row>
    <row r="73" spans="1:8" s="754" customFormat="1" ht="12.75" customHeight="1">
      <c r="A73" s="423">
        <f t="shared" si="6"/>
        <v>49</v>
      </c>
      <c r="B73" s="4"/>
      <c r="C73" s="761"/>
      <c r="D73" s="761"/>
      <c r="E73" s="762"/>
    </row>
    <row r="74" spans="1:8" s="754" customFormat="1" ht="12.75" customHeight="1">
      <c r="A74" s="423">
        <f t="shared" si="6"/>
        <v>50</v>
      </c>
      <c r="B74" s="743" t="s">
        <v>8</v>
      </c>
      <c r="C74" s="751">
        <f>SUM(C64:C72)</f>
        <v>553015.59708859259</v>
      </c>
      <c r="D74" s="751">
        <f>SUM(D64:D72)</f>
        <v>0</v>
      </c>
      <c r="F74" s="757">
        <f>SUM(F64:F72)</f>
        <v>5632668.6329113916</v>
      </c>
    </row>
    <row r="75" spans="1:8" s="754" customFormat="1" ht="21" customHeight="1">
      <c r="A75" s="423"/>
      <c r="B75" s="743"/>
      <c r="C75" s="751"/>
      <c r="D75" s="751"/>
      <c r="E75" s="751"/>
    </row>
    <row r="76" spans="1:8" s="754" customFormat="1" ht="14.25" customHeight="1">
      <c r="A76" s="423">
        <f>+A74+1</f>
        <v>51</v>
      </c>
      <c r="B76" s="743" t="str">
        <f>"Hedge Gain or Loss Prior to Application of Recovery Limit (Sum of Lines "&amp;A64&amp;" to "&amp;A72&amp;")"</f>
        <v>Hedge Gain or Loss Prior to Application of Recovery Limit (Sum of Lines 40 to 48)</v>
      </c>
      <c r="C76" s="751"/>
      <c r="D76" s="751"/>
      <c r="E76" s="751">
        <f>SUM(E64:E72)</f>
        <v>553015.59708859259</v>
      </c>
    </row>
    <row r="77" spans="1:8" s="754" customFormat="1" ht="12.75" customHeight="1">
      <c r="A77" s="423">
        <f>+A76+1</f>
        <v>52</v>
      </c>
      <c r="B77" s="763" t="str">
        <f>"Total Average Capital Structure Balance for "&amp;TCOS!L4&amp;" (TCOS, Ln "&amp;TCOS!B274&amp;")"</f>
        <v>Total Average Capital Structure Balance for 2025 (TCOS, Ln 157)</v>
      </c>
      <c r="C77" s="747"/>
      <c r="D77" s="741"/>
      <c r="E77" s="764">
        <f>TCOS!G274</f>
        <v>6593984221.7505379</v>
      </c>
      <c r="H77" s="757"/>
    </row>
    <row r="78" spans="1:8" s="754" customFormat="1" ht="12.75" customHeight="1">
      <c r="A78" s="423">
        <f>+A77+1</f>
        <v>53</v>
      </c>
      <c r="B78" s="743" t="s">
        <v>490</v>
      </c>
      <c r="C78" s="747"/>
      <c r="D78" s="741"/>
      <c r="E78" s="765">
        <v>5.0000000000000001E-4</v>
      </c>
      <c r="G78" s="766"/>
    </row>
    <row r="79" spans="1:8" s="754" customFormat="1" ht="12.75" customHeight="1" thickBot="1">
      <c r="A79" s="423">
        <f>+A78+1</f>
        <v>54</v>
      </c>
      <c r="B79" s="743" t="s">
        <v>491</v>
      </c>
      <c r="C79" s="747"/>
      <c r="D79" s="741"/>
      <c r="E79" s="767">
        <f>+E77*E78</f>
        <v>3296992.1108752689</v>
      </c>
    </row>
    <row r="80" spans="1:8" s="754" customFormat="1" ht="12.75" customHeight="1" thickBot="1">
      <c r="A80" s="423">
        <f>+A79+1</f>
        <v>55</v>
      </c>
      <c r="B80" s="739" t="str">
        <f>"Recoverable Hedge Amortization (Lesser of Ln "&amp;A76&amp;" or Ln "&amp;A79&amp;")"</f>
        <v>Recoverable Hedge Amortization (Lesser of Ln 51 or Ln 54)</v>
      </c>
      <c r="C80" s="747"/>
      <c r="D80" s="741"/>
      <c r="E80" s="768">
        <f>+IF(E79&lt;E76,E79,E76)</f>
        <v>553015.59708859259</v>
      </c>
    </row>
    <row r="81" spans="1:5" s="754" customFormat="1" ht="12.75" customHeight="1">
      <c r="A81" s="423"/>
      <c r="B81" s="743"/>
      <c r="C81" s="747"/>
      <c r="D81" s="741"/>
      <c r="E81" s="747"/>
    </row>
    <row r="82" spans="1:5" s="754" customFormat="1" ht="12.75" customHeight="1">
      <c r="A82" s="769" t="s">
        <v>9</v>
      </c>
      <c r="B82" s="770"/>
      <c r="C82" s="747"/>
      <c r="D82" s="741"/>
      <c r="E82" s="747"/>
    </row>
    <row r="83" spans="1:5" s="754" customFormat="1" ht="12.75" customHeight="1">
      <c r="A83" s="423"/>
      <c r="B83" s="743"/>
      <c r="C83" s="747"/>
      <c r="D83" s="741"/>
      <c r="E83" s="747"/>
    </row>
    <row r="84" spans="1:5" s="754" customFormat="1" ht="12.75" customHeight="1">
      <c r="A84" s="423"/>
      <c r="B84" s="771" t="s">
        <v>259</v>
      </c>
      <c r="C84" s="772"/>
      <c r="D84" s="741"/>
      <c r="E84" s="772" t="s">
        <v>507</v>
      </c>
    </row>
    <row r="85" spans="1:5" s="754" customFormat="1" ht="12.75" customHeight="1">
      <c r="A85" s="423">
        <f>+A80+1</f>
        <v>56</v>
      </c>
      <c r="B85" s="741" t="str">
        <f>""&amp;C$85*100&amp;"% Series - "&amp;C$86&amp;" - Dividend Rate (p. 250-251)"</f>
        <v>0% Series - 0 - Dividend Rate (p. 250-251)</v>
      </c>
      <c r="C85" s="773">
        <v>0</v>
      </c>
      <c r="D85" s="773">
        <v>0</v>
      </c>
      <c r="E85" s="772"/>
    </row>
    <row r="86" spans="1:5" s="754" customFormat="1" ht="12.75" customHeight="1">
      <c r="A86" s="423">
        <f>+A85+1</f>
        <v>57</v>
      </c>
      <c r="B86" s="741" t="str">
        <f>""&amp;C$85*100&amp;"% Series - "&amp;C$86&amp;" - Par Value (p. 250-251)"</f>
        <v>0% Series - 0 - Par Value (p. 250-251)</v>
      </c>
      <c r="C86" s="774">
        <v>0</v>
      </c>
      <c r="D86" s="774">
        <v>0</v>
      </c>
      <c r="E86" s="772"/>
    </row>
    <row r="87" spans="1:5" s="754" customFormat="1" ht="12.75" customHeight="1">
      <c r="A87" s="423">
        <f>+A86+1</f>
        <v>58</v>
      </c>
      <c r="B87" s="741" t="str">
        <f>""&amp;C$85*100&amp;"% Series - "&amp;C$86&amp;" - Shares O/S (p.250-251) "</f>
        <v xml:space="preserve">0% Series - 0 - Shares O/S (p.250-251) </v>
      </c>
      <c r="C87" s="744">
        <v>0</v>
      </c>
      <c r="D87" s="744">
        <v>0</v>
      </c>
      <c r="E87" s="775"/>
    </row>
    <row r="88" spans="1:5" s="754" customFormat="1" ht="12.75" customHeight="1">
      <c r="A88" s="423">
        <f>+A87+1</f>
        <v>59</v>
      </c>
      <c r="B88" s="741" t="str">
        <f>""&amp;C$85*100&amp;"% Series - "&amp;C$86&amp;" - Monetary Value (Ln "&amp;A86&amp;" * Ln "&amp;A87&amp;")"</f>
        <v>0% Series - 0 - Monetary Value (Ln 57 * Ln 58)</v>
      </c>
      <c r="C88" s="776">
        <f>+C87*C86</f>
        <v>0</v>
      </c>
      <c r="D88" s="776">
        <f>+D87*D86</f>
        <v>0</v>
      </c>
      <c r="E88" s="461">
        <f>IF(C88=D88=0,0,AVERAGE(C88:D88))</f>
        <v>0</v>
      </c>
    </row>
    <row r="89" spans="1:5" s="754" customFormat="1" ht="12.75" customHeight="1">
      <c r="A89" s="423">
        <f>+A88+1</f>
        <v>60</v>
      </c>
      <c r="B89" s="741" t="str">
        <f>""&amp;C$85*100&amp;"% Series - "&amp;C$86&amp;" -  Dividend Amount (Ln "&amp;A85&amp;" * Ln "&amp;A88&amp;")"</f>
        <v>0% Series - 0 -  Dividend Amount (Ln 56 * Ln 59)</v>
      </c>
      <c r="C89" s="776">
        <f>+C88*C85</f>
        <v>0</v>
      </c>
      <c r="D89" s="776">
        <f>+D88*D85</f>
        <v>0</v>
      </c>
      <c r="E89" s="461">
        <f>IF(C89=D89=0,0,AVERAGE(C89:D89))</f>
        <v>0</v>
      </c>
    </row>
    <row r="90" spans="1:5" s="754" customFormat="1" ht="12.75" customHeight="1">
      <c r="A90" s="423"/>
      <c r="B90" s="741"/>
      <c r="C90" s="776"/>
      <c r="D90" s="766"/>
      <c r="E90" s="777"/>
    </row>
    <row r="91" spans="1:5" s="754" customFormat="1" ht="12.75" customHeight="1">
      <c r="A91" s="423">
        <f>+A89+1</f>
        <v>61</v>
      </c>
      <c r="B91" s="741" t="str">
        <f>""&amp;C$91*100&amp;"% Series - "&amp;C$92&amp;" - Dividend Rate (p. 250-251)"</f>
        <v>0% Series - 0 - Dividend Rate (p. 250-251)</v>
      </c>
      <c r="C91" s="773">
        <v>0</v>
      </c>
      <c r="D91" s="773">
        <v>0</v>
      </c>
      <c r="E91" s="777"/>
    </row>
    <row r="92" spans="1:5" s="754" customFormat="1" ht="12.75" customHeight="1">
      <c r="A92" s="423">
        <f>+A91+1</f>
        <v>62</v>
      </c>
      <c r="B92" s="741" t="str">
        <f>""&amp;C$91*100&amp;"% Series - "&amp;C$92&amp;" - Par Value (p. 250-251)"</f>
        <v>0% Series - 0 - Par Value (p. 250-251)</v>
      </c>
      <c r="C92" s="774">
        <v>0</v>
      </c>
      <c r="D92" s="774">
        <v>0</v>
      </c>
      <c r="E92" s="777"/>
    </row>
    <row r="93" spans="1:5" s="754" customFormat="1" ht="12.75" customHeight="1">
      <c r="A93" s="423">
        <f>+A92+1</f>
        <v>63</v>
      </c>
      <c r="B93" s="741" t="str">
        <f>""&amp;C$91*100&amp;"% Series - "&amp;C$92&amp;" - Shares O/S (p.250-251) "</f>
        <v xml:space="preserve">0% Series - 0 - Shares O/S (p.250-251) </v>
      </c>
      <c r="C93" s="744">
        <v>0</v>
      </c>
      <c r="D93" s="744">
        <v>0</v>
      </c>
      <c r="E93" s="777"/>
    </row>
    <row r="94" spans="1:5" s="754" customFormat="1" ht="12.75" customHeight="1">
      <c r="A94" s="423">
        <f>+A93+1</f>
        <v>64</v>
      </c>
      <c r="B94" s="741" t="str">
        <f>""&amp;C$91*100&amp;"% Series - "&amp;C$92&amp;" - Monetary Value (Ln "&amp;A92&amp;" * Ln "&amp;A93&amp;")"</f>
        <v>0% Series - 0 - Monetary Value (Ln 62 * Ln 63)</v>
      </c>
      <c r="C94" s="740">
        <f>+C93*C92</f>
        <v>0</v>
      </c>
      <c r="D94" s="740">
        <f>+D93*D92</f>
        <v>0</v>
      </c>
      <c r="E94" s="461">
        <f>IF(C94=D94=0,0,AVERAGE(C94:D94))</f>
        <v>0</v>
      </c>
    </row>
    <row r="95" spans="1:5" s="754" customFormat="1" ht="12.75" customHeight="1">
      <c r="A95" s="423">
        <f>+A94+1</f>
        <v>65</v>
      </c>
      <c r="B95" s="741" t="str">
        <f>""&amp;C$91*100&amp;"% Series - "&amp;C$92&amp;" -  Dividend Amount (Ln "&amp;A91&amp;" * Ln "&amp;A94&amp;")"</f>
        <v>0% Series - 0 -  Dividend Amount (Ln 61 * Ln 64)</v>
      </c>
      <c r="C95" s="740">
        <f>+C94*C91</f>
        <v>0</v>
      </c>
      <c r="D95" s="740">
        <f>+D94*D91</f>
        <v>0</v>
      </c>
      <c r="E95" s="461">
        <f>IF(C95=D95=0,0,AVERAGE(C95:D95))</f>
        <v>0</v>
      </c>
    </row>
    <row r="96" spans="1:5" s="754" customFormat="1" ht="12.75" customHeight="1">
      <c r="A96" s="423"/>
      <c r="B96" s="741"/>
      <c r="C96" s="740"/>
      <c r="D96" s="740"/>
      <c r="E96" s="461"/>
    </row>
    <row r="97" spans="1:6" s="754" customFormat="1" ht="12.75" customHeight="1">
      <c r="A97" s="423">
        <f>+A95+1</f>
        <v>66</v>
      </c>
      <c r="B97" s="741" t="str">
        <f>""&amp;C$97*100&amp;"% Series - "&amp;C$98&amp;" - Dividend Rate (p. 250-251)"</f>
        <v>0% Series - 0 - Dividend Rate (p. 250-251)</v>
      </c>
      <c r="C97" s="773">
        <v>0</v>
      </c>
      <c r="D97" s="773">
        <v>0</v>
      </c>
      <c r="E97" s="461"/>
    </row>
    <row r="98" spans="1:6" s="754" customFormat="1" ht="12.75" customHeight="1">
      <c r="A98" s="423">
        <f>+A97+1</f>
        <v>67</v>
      </c>
      <c r="B98" s="741" t="str">
        <f>""&amp;C$97*100&amp;"% Series - "&amp;C$98&amp;" - Par Value (p. 250-251)"</f>
        <v>0% Series - 0 - Par Value (p. 250-251)</v>
      </c>
      <c r="C98" s="774">
        <v>0</v>
      </c>
      <c r="D98" s="774">
        <v>0</v>
      </c>
      <c r="E98" s="461"/>
    </row>
    <row r="99" spans="1:6" s="754" customFormat="1" ht="12.75" customHeight="1">
      <c r="A99" s="423">
        <f>+A98+1</f>
        <v>68</v>
      </c>
      <c r="B99" s="741" t="str">
        <f>""&amp;C$97*100&amp;"% Series - "&amp;C$98&amp;" - Shares O/S (p.250-251) "</f>
        <v xml:space="preserve">0% Series - 0 - Shares O/S (p.250-251) </v>
      </c>
      <c r="C99" s="744">
        <v>0</v>
      </c>
      <c r="D99" s="744">
        <v>0</v>
      </c>
      <c r="E99" s="777"/>
    </row>
    <row r="100" spans="1:6" s="754" customFormat="1" ht="12.75" customHeight="1">
      <c r="A100" s="423">
        <f>+A99+1</f>
        <v>69</v>
      </c>
      <c r="B100" s="741" t="str">
        <f>""&amp;C$97*100&amp;"% Series - "&amp;C$98&amp;" - Monetary Value (Ln "&amp;A98&amp;" * Ln "&amp;A99&amp;")"</f>
        <v>0% Series - 0 - Monetary Value (Ln 67 * Ln 68)</v>
      </c>
      <c r="C100" s="740">
        <f>+C99*C98</f>
        <v>0</v>
      </c>
      <c r="D100" s="740">
        <f>+D99*D98</f>
        <v>0</v>
      </c>
      <c r="E100" s="461">
        <f>IF(C100=D100=0,0,AVERAGE(C100:D100))</f>
        <v>0</v>
      </c>
    </row>
    <row r="101" spans="1:6" s="754" customFormat="1" ht="12.75" customHeight="1">
      <c r="A101" s="423">
        <f>+A100+1</f>
        <v>70</v>
      </c>
      <c r="B101" s="741" t="str">
        <f>""&amp;C$97*100&amp;"% Series - "&amp;C$98&amp;" -  Dividend Amount (Ln "&amp;A97&amp;" * Ln "&amp;A100&amp;")"</f>
        <v>0% Series - 0 -  Dividend Amount (Ln 66 * Ln 69)</v>
      </c>
      <c r="C101" s="740">
        <f>+C100*C97</f>
        <v>0</v>
      </c>
      <c r="D101" s="740">
        <f>+D100*D97</f>
        <v>0</v>
      </c>
      <c r="E101" s="461">
        <f>IF(C101=D101=0,0,AVERAGE(C101:D101))</f>
        <v>0</v>
      </c>
    </row>
    <row r="102" spans="1:6" s="754" customFormat="1" ht="12.75" customHeight="1">
      <c r="A102" s="423"/>
      <c r="B102" s="741"/>
      <c r="C102" s="740"/>
      <c r="D102" s="740"/>
    </row>
    <row r="103" spans="1:6" s="754" customFormat="1" ht="12.75" customHeight="1">
      <c r="A103" s="423">
        <f>+A101+1</f>
        <v>71</v>
      </c>
      <c r="B103" s="750" t="str">
        <f>"Balance of Preferred Stock (Lns "&amp;A88&amp;", "&amp;A94&amp;", "&amp;A100&amp;")"</f>
        <v>Balance of Preferred Stock (Lns 59, 64, 69)</v>
      </c>
      <c r="C103" s="740">
        <f>+C88+C94+C100</f>
        <v>0</v>
      </c>
      <c r="D103" s="740">
        <f>+D88+D94+D100</f>
        <v>0</v>
      </c>
      <c r="E103" s="778">
        <f>+E88+E94+E100</f>
        <v>0</v>
      </c>
      <c r="F103" s="741" t="s">
        <v>314</v>
      </c>
    </row>
    <row r="104" spans="1:6" s="754" customFormat="1" ht="12.75" customHeight="1" thickBot="1">
      <c r="A104" s="423">
        <f>+A103+1</f>
        <v>72</v>
      </c>
      <c r="B104" s="750" t="str">
        <f>"Dividends on Preferred Stock (Lns "&amp;A89&amp;", "&amp;A95&amp;", "&amp;A101&amp;")"</f>
        <v>Dividends on Preferred Stock (Lns 60, 65, 70)</v>
      </c>
      <c r="C104" s="779">
        <f>+C95+C89+C101</f>
        <v>0</v>
      </c>
      <c r="D104" s="779">
        <f>+D95+D89+D101</f>
        <v>0</v>
      </c>
      <c r="E104" s="780">
        <f>+E101+E95+E89</f>
        <v>0</v>
      </c>
    </row>
    <row r="105" spans="1:6" s="754" customFormat="1" ht="12.75" customHeight="1" thickBot="1">
      <c r="A105" s="423">
        <f>+A104+1</f>
        <v>73</v>
      </c>
      <c r="B105" s="750" t="str">
        <f>"Average Cost of Preferred Stock (Ln "&amp;A104&amp;"/"&amp;A103&amp;")"</f>
        <v>Average Cost of Preferred Stock (Ln 72/71)</v>
      </c>
      <c r="C105" s="747">
        <f>IF(C103=0,0,C104/C103)</f>
        <v>0</v>
      </c>
      <c r="D105" s="747">
        <f>IF(D103=0,0,D104/D103)</f>
        <v>0</v>
      </c>
      <c r="E105" s="752">
        <f>IF(E103=0,0,+E104/E103)</f>
        <v>0</v>
      </c>
    </row>
  </sheetData>
  <mergeCells count="10">
    <mergeCell ref="B50:C50"/>
    <mergeCell ref="B60:E60"/>
    <mergeCell ref="B61:E61"/>
    <mergeCell ref="G62:H62"/>
    <mergeCell ref="A1:G1"/>
    <mergeCell ref="A2:G2"/>
    <mergeCell ref="A3:G3"/>
    <mergeCell ref="A4:G4"/>
    <mergeCell ref="C6:G6"/>
    <mergeCell ref="C25:H25"/>
  </mergeCells>
  <pageMargins left="0.7" right="0.7" top="0.75" bottom="0.75" header="0.3" footer="0.3"/>
  <pageSetup scale="66" fitToHeight="0" orientation="landscape" cellComments="asDisplayed" r:id="rId1"/>
  <headerFooter>
    <oddHeader xml:space="preserve">&amp;L&amp;"Times New Roman,Bold Italic"&amp;12
&amp;RPage &amp;P of &amp;N
</oddHeader>
  </headerFooter>
  <rowBreaks count="1" manualBreakCount="1">
    <brk id="44"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96"/>
  <sheetViews>
    <sheetView tabSelected="1" topLeftCell="A34" zoomScale="85" zoomScaleNormal="85" zoomScaleSheetLayoutView="70" zoomScalePageLayoutView="50" workbookViewId="0">
      <selection activeCell="D9" sqref="D9"/>
    </sheetView>
  </sheetViews>
  <sheetFormatPr defaultColWidth="11.42578125" defaultRowHeight="12.75"/>
  <cols>
    <col min="1" max="1" width="10.42578125" style="673" customWidth="1"/>
    <col min="2" max="2" width="64.5703125" style="4" customWidth="1"/>
    <col min="3" max="3" width="26.5703125" style="4" bestFit="1" customWidth="1"/>
    <col min="4" max="11" width="20.42578125" style="4" customWidth="1"/>
    <col min="12" max="12" width="20" style="4" customWidth="1"/>
    <col min="13" max="14" width="15.140625" style="4" customWidth="1"/>
    <col min="15" max="16384" width="11.42578125" style="4"/>
  </cols>
  <sheetData>
    <row r="1" spans="1:13" ht="15">
      <c r="A1" s="1230" t="s">
        <v>388</v>
      </c>
      <c r="B1" s="1230"/>
      <c r="C1" s="1230"/>
      <c r="D1" s="1230"/>
      <c r="E1" s="1230"/>
      <c r="F1" s="1230"/>
      <c r="G1" s="1230"/>
      <c r="H1" s="82"/>
      <c r="I1" s="82"/>
    </row>
    <row r="2" spans="1:13" ht="15">
      <c r="A2" s="1231" t="str">
        <f>"Cost of Service Formula Rate Using Actual/Projected FF1 Balances"</f>
        <v>Cost of Service Formula Rate Using Actual/Projected FF1 Balances</v>
      </c>
      <c r="B2" s="1231"/>
      <c r="C2" s="1231"/>
      <c r="D2" s="1231"/>
      <c r="E2" s="1231"/>
      <c r="F2" s="1231"/>
      <c r="G2" s="1231"/>
      <c r="H2" s="82"/>
      <c r="I2" s="82"/>
      <c r="J2" s="82"/>
      <c r="L2" s="539"/>
    </row>
    <row r="3" spans="1:13" ht="15">
      <c r="A3" s="1231" t="s">
        <v>654</v>
      </c>
      <c r="B3" s="1231"/>
      <c r="C3" s="1231"/>
      <c r="D3" s="1231"/>
      <c r="E3" s="1231"/>
      <c r="F3" s="1231"/>
      <c r="G3" s="1231"/>
      <c r="H3" s="82"/>
      <c r="I3" s="82"/>
      <c r="J3" s="82"/>
    </row>
    <row r="4" spans="1:13" ht="15">
      <c r="A4" s="1232" t="str">
        <f>TCOS!F9</f>
        <v xml:space="preserve">Indiana Michigan Power Company </v>
      </c>
      <c r="B4" s="1232"/>
      <c r="C4" s="1232"/>
      <c r="D4" s="1232"/>
      <c r="E4" s="1232"/>
      <c r="F4" s="1232"/>
      <c r="G4" s="1232"/>
      <c r="H4" s="82"/>
      <c r="I4" s="82"/>
      <c r="J4" s="82"/>
    </row>
    <row r="5" spans="1:13">
      <c r="A5" s="82"/>
      <c r="B5" s="706"/>
      <c r="C5" s="706"/>
      <c r="D5" s="706"/>
      <c r="E5" s="708"/>
      <c r="F5" s="685"/>
      <c r="H5" s="685"/>
      <c r="J5" s="685"/>
      <c r="L5" s="685"/>
    </row>
    <row r="6" spans="1:13" ht="12.75" customHeight="1">
      <c r="A6" s="82"/>
      <c r="B6" s="706"/>
      <c r="C6" s="1233" t="s">
        <v>653</v>
      </c>
      <c r="D6" s="1234"/>
      <c r="E6" s="1234"/>
      <c r="F6" s="1234"/>
      <c r="G6" s="1234"/>
      <c r="H6" s="1234"/>
      <c r="I6" s="1234"/>
      <c r="J6" s="1234"/>
      <c r="K6" s="1234"/>
      <c r="L6" s="1234"/>
      <c r="M6" s="1235"/>
    </row>
    <row r="7" spans="1:13" s="490" customFormat="1" ht="25.5">
      <c r="A7" s="705" t="s">
        <v>643</v>
      </c>
      <c r="B7" s="704" t="s">
        <v>642</v>
      </c>
      <c r="C7" s="689" t="s">
        <v>230</v>
      </c>
      <c r="D7" s="689" t="s">
        <v>651</v>
      </c>
      <c r="E7" s="689" t="s">
        <v>116</v>
      </c>
      <c r="F7" s="689" t="s">
        <v>650</v>
      </c>
      <c r="G7" s="689" t="s">
        <v>439</v>
      </c>
      <c r="H7" s="689" t="s">
        <v>649</v>
      </c>
      <c r="I7" s="689" t="s">
        <v>335</v>
      </c>
      <c r="J7" s="689" t="s">
        <v>648</v>
      </c>
      <c r="K7" s="1163" t="s">
        <v>647</v>
      </c>
      <c r="L7" s="689" t="s">
        <v>1395</v>
      </c>
      <c r="M7" s="688" t="s">
        <v>1396</v>
      </c>
    </row>
    <row r="8" spans="1:13" s="682" customFormat="1">
      <c r="A8" s="681"/>
      <c r="B8" s="686" t="s">
        <v>637</v>
      </c>
      <c r="C8" s="685" t="s">
        <v>636</v>
      </c>
      <c r="D8" s="685" t="s">
        <v>635</v>
      </c>
      <c r="E8" s="685" t="s">
        <v>634</v>
      </c>
      <c r="F8" s="685" t="s">
        <v>633</v>
      </c>
      <c r="G8" s="685" t="s">
        <v>655</v>
      </c>
      <c r="H8" s="685" t="s">
        <v>656</v>
      </c>
      <c r="I8" s="685" t="s">
        <v>646</v>
      </c>
      <c r="J8" s="685" t="s">
        <v>645</v>
      </c>
      <c r="K8" s="1164" t="s">
        <v>644</v>
      </c>
      <c r="L8" s="685" t="s">
        <v>1397</v>
      </c>
      <c r="M8" s="686" t="s">
        <v>1398</v>
      </c>
    </row>
    <row r="9" spans="1:13" s="682" customFormat="1" ht="44.25" customHeight="1">
      <c r="A9" s="681"/>
      <c r="B9" s="686" t="s">
        <v>632</v>
      </c>
      <c r="C9" s="703" t="s">
        <v>443</v>
      </c>
      <c r="D9" s="703" t="s">
        <v>448</v>
      </c>
      <c r="E9" s="703" t="s">
        <v>444</v>
      </c>
      <c r="F9" s="703" t="s">
        <v>657</v>
      </c>
      <c r="G9" s="703" t="s">
        <v>445</v>
      </c>
      <c r="H9" s="703" t="s">
        <v>446</v>
      </c>
      <c r="I9" s="703" t="s">
        <v>658</v>
      </c>
      <c r="J9" s="703" t="s">
        <v>659</v>
      </c>
      <c r="K9" s="703" t="s">
        <v>447</v>
      </c>
      <c r="L9" s="1155" t="s">
        <v>1399</v>
      </c>
      <c r="M9" s="1156" t="s">
        <v>1400</v>
      </c>
    </row>
    <row r="10" spans="1:13">
      <c r="A10" s="681">
        <v>1</v>
      </c>
      <c r="B10" s="702" t="s">
        <v>630</v>
      </c>
      <c r="C10" s="679">
        <v>5422541347.2800007</v>
      </c>
      <c r="D10" s="679">
        <v>346686326.11000001</v>
      </c>
      <c r="E10" s="679">
        <v>1957765636.9600003</v>
      </c>
      <c r="F10" s="679">
        <v>0</v>
      </c>
      <c r="G10" s="679">
        <v>3535163424.0699992</v>
      </c>
      <c r="H10" s="679">
        <v>0</v>
      </c>
      <c r="I10" s="679">
        <v>279281090.49000001</v>
      </c>
      <c r="J10" s="679">
        <v>1308356.17</v>
      </c>
      <c r="K10" s="679">
        <v>365688296.75</v>
      </c>
      <c r="L10" s="679">
        <v>0</v>
      </c>
      <c r="M10" s="1197">
        <v>0</v>
      </c>
    </row>
    <row r="11" spans="1:13">
      <c r="A11" s="681">
        <f>+A10+1</f>
        <v>2</v>
      </c>
      <c r="B11" s="702" t="s">
        <v>186</v>
      </c>
      <c r="C11" s="679">
        <v>5423184919.8699999</v>
      </c>
      <c r="D11" s="679">
        <v>346686326.11000001</v>
      </c>
      <c r="E11" s="679">
        <v>1959734177.6399996</v>
      </c>
      <c r="F11" s="679">
        <v>0</v>
      </c>
      <c r="G11" s="679">
        <v>3566434392.4699998</v>
      </c>
      <c r="H11" s="679">
        <v>0</v>
      </c>
      <c r="I11" s="679">
        <v>593860524.00999999</v>
      </c>
      <c r="J11" s="679">
        <v>1308356.17</v>
      </c>
      <c r="K11" s="679">
        <v>47036017.379999995</v>
      </c>
      <c r="L11" s="679">
        <v>106914.8</v>
      </c>
      <c r="M11" s="1198">
        <v>0</v>
      </c>
    </row>
    <row r="12" spans="1:13">
      <c r="A12" s="681">
        <f t="shared" ref="A12:A23" si="0">+A11+1</f>
        <v>3</v>
      </c>
      <c r="B12" s="701" t="s">
        <v>561</v>
      </c>
      <c r="C12" s="679">
        <v>5423623029.9000006</v>
      </c>
      <c r="D12" s="679">
        <v>346686326.11000001</v>
      </c>
      <c r="E12" s="679">
        <v>1955501709.7700002</v>
      </c>
      <c r="F12" s="679">
        <v>0</v>
      </c>
      <c r="G12" s="679">
        <v>3583950804.2999992</v>
      </c>
      <c r="H12" s="679">
        <v>0</v>
      </c>
      <c r="I12" s="679">
        <v>597809699.63999999</v>
      </c>
      <c r="J12" s="679">
        <v>1308356.17</v>
      </c>
      <c r="K12" s="679">
        <v>47036017.380000003</v>
      </c>
      <c r="L12" s="679">
        <v>106914.8</v>
      </c>
      <c r="M12" s="1198">
        <v>0</v>
      </c>
    </row>
    <row r="13" spans="1:13">
      <c r="A13" s="681">
        <f t="shared" si="0"/>
        <v>4</v>
      </c>
      <c r="B13" s="701" t="s">
        <v>629</v>
      </c>
      <c r="C13" s="679">
        <v>5425451623.7600002</v>
      </c>
      <c r="D13" s="679">
        <v>347647155.86000001</v>
      </c>
      <c r="E13" s="679">
        <v>1963952687.3400004</v>
      </c>
      <c r="F13" s="679">
        <v>0</v>
      </c>
      <c r="G13" s="679">
        <v>3612523280.0200009</v>
      </c>
      <c r="H13" s="679">
        <v>0</v>
      </c>
      <c r="I13" s="679">
        <v>592254971.26999998</v>
      </c>
      <c r="J13" s="679">
        <v>1308356.17</v>
      </c>
      <c r="K13" s="679">
        <v>45571227.210000001</v>
      </c>
      <c r="L13" s="679">
        <v>106914.8</v>
      </c>
      <c r="M13" s="1198">
        <v>0</v>
      </c>
    </row>
    <row r="14" spans="1:13">
      <c r="A14" s="681">
        <f t="shared" si="0"/>
        <v>5</v>
      </c>
      <c r="B14" s="701" t="s">
        <v>188</v>
      </c>
      <c r="C14" s="679">
        <v>5427762215.2800007</v>
      </c>
      <c r="D14" s="679">
        <v>347647155.86000001</v>
      </c>
      <c r="E14" s="679">
        <v>1978745196.9799998</v>
      </c>
      <c r="F14" s="679">
        <v>0</v>
      </c>
      <c r="G14" s="679">
        <v>3637008611.4199996</v>
      </c>
      <c r="H14" s="679">
        <v>0</v>
      </c>
      <c r="I14" s="679">
        <v>593834268.66999984</v>
      </c>
      <c r="J14" s="679">
        <v>1308356.17</v>
      </c>
      <c r="K14" s="679">
        <v>45571227.210000001</v>
      </c>
      <c r="L14" s="679">
        <v>106914.8</v>
      </c>
      <c r="M14" s="1198">
        <v>0</v>
      </c>
    </row>
    <row r="15" spans="1:13">
      <c r="A15" s="681">
        <f t="shared" si="0"/>
        <v>6</v>
      </c>
      <c r="B15" s="701" t="s">
        <v>189</v>
      </c>
      <c r="C15" s="679">
        <v>5432686060.8299999</v>
      </c>
      <c r="D15" s="679">
        <v>347647155.86000001</v>
      </c>
      <c r="E15" s="679">
        <v>1979777728.2599998</v>
      </c>
      <c r="F15" s="679">
        <v>0</v>
      </c>
      <c r="G15" s="679">
        <v>3672028033.6700006</v>
      </c>
      <c r="H15" s="679">
        <v>0</v>
      </c>
      <c r="I15" s="679">
        <v>594548866.6900003</v>
      </c>
      <c r="J15" s="679">
        <v>1308356.17</v>
      </c>
      <c r="K15" s="679">
        <v>45571227.210000001</v>
      </c>
      <c r="L15" s="679">
        <v>106914.8</v>
      </c>
      <c r="M15" s="1198">
        <v>0</v>
      </c>
    </row>
    <row r="16" spans="1:13">
      <c r="A16" s="681">
        <f t="shared" si="0"/>
        <v>7</v>
      </c>
      <c r="B16" s="701" t="s">
        <v>383</v>
      </c>
      <c r="C16" s="679">
        <v>5439992102.0900011</v>
      </c>
      <c r="D16" s="679">
        <v>350884005.38999999</v>
      </c>
      <c r="E16" s="679">
        <v>1983158557.0699999</v>
      </c>
      <c r="F16" s="679">
        <v>0</v>
      </c>
      <c r="G16" s="679">
        <v>3703808707.7599998</v>
      </c>
      <c r="H16" s="679">
        <v>0</v>
      </c>
      <c r="I16" s="679">
        <v>588872990.05999994</v>
      </c>
      <c r="J16" s="679">
        <v>1308356.17</v>
      </c>
      <c r="K16" s="679">
        <v>45571227.210000001</v>
      </c>
      <c r="L16" s="679">
        <v>106914.8</v>
      </c>
      <c r="M16" s="1198">
        <v>0</v>
      </c>
    </row>
    <row r="17" spans="1:13">
      <c r="A17" s="681">
        <f t="shared" si="0"/>
        <v>8</v>
      </c>
      <c r="B17" s="701" t="s">
        <v>190</v>
      </c>
      <c r="C17" s="679">
        <v>5442621397.5500011</v>
      </c>
      <c r="D17" s="679">
        <v>350884005.38999999</v>
      </c>
      <c r="E17" s="679">
        <v>1990796024.8399992</v>
      </c>
      <c r="F17" s="679">
        <v>0</v>
      </c>
      <c r="G17" s="679">
        <v>3724269722.4900007</v>
      </c>
      <c r="H17" s="679">
        <v>0</v>
      </c>
      <c r="I17" s="679">
        <v>590746330.99000001</v>
      </c>
      <c r="J17" s="679">
        <v>1308356.17</v>
      </c>
      <c r="K17" s="679">
        <v>45571227.210000001</v>
      </c>
      <c r="L17" s="679">
        <v>106914.8</v>
      </c>
      <c r="M17" s="1198">
        <v>0</v>
      </c>
    </row>
    <row r="18" spans="1:13">
      <c r="A18" s="681">
        <f t="shared" si="0"/>
        <v>9</v>
      </c>
      <c r="B18" s="701" t="s">
        <v>628</v>
      </c>
      <c r="C18" s="679">
        <v>5443023449.750001</v>
      </c>
      <c r="D18" s="679">
        <v>350884005.38999999</v>
      </c>
      <c r="E18" s="679">
        <v>2009418850.7899992</v>
      </c>
      <c r="F18" s="679">
        <v>0</v>
      </c>
      <c r="G18" s="679">
        <v>3738965387.3400002</v>
      </c>
      <c r="H18" s="679">
        <v>0</v>
      </c>
      <c r="I18" s="679">
        <v>593993722.63000011</v>
      </c>
      <c r="J18" s="679">
        <v>1308356.17</v>
      </c>
      <c r="K18" s="679">
        <v>45571227.210000001</v>
      </c>
      <c r="L18" s="679">
        <v>106914.8</v>
      </c>
      <c r="M18" s="1198">
        <v>0</v>
      </c>
    </row>
    <row r="19" spans="1:13">
      <c r="A19" s="681">
        <f t="shared" si="0"/>
        <v>10</v>
      </c>
      <c r="B19" s="701" t="s">
        <v>193</v>
      </c>
      <c r="C19" s="679">
        <v>5443983099.7200012</v>
      </c>
      <c r="D19" s="679">
        <v>350884005.38999999</v>
      </c>
      <c r="E19" s="679">
        <v>2016532771.9499998</v>
      </c>
      <c r="F19" s="679">
        <v>0</v>
      </c>
      <c r="G19" s="679">
        <v>3765895163.2300005</v>
      </c>
      <c r="H19" s="679">
        <v>0</v>
      </c>
      <c r="I19" s="679">
        <v>574790075.89999998</v>
      </c>
      <c r="J19" s="679">
        <v>1308356.17</v>
      </c>
      <c r="K19" s="679">
        <v>45571227.210000001</v>
      </c>
      <c r="L19" s="679">
        <v>106914.8</v>
      </c>
      <c r="M19" s="1198">
        <v>0</v>
      </c>
    </row>
    <row r="20" spans="1:13">
      <c r="A20" s="681">
        <f t="shared" si="0"/>
        <v>11</v>
      </c>
      <c r="B20" s="701" t="s">
        <v>562</v>
      </c>
      <c r="C20" s="679">
        <v>5450106920.3899994</v>
      </c>
      <c r="D20" s="679">
        <v>350884005.38999999</v>
      </c>
      <c r="E20" s="679">
        <v>2025729449.6900003</v>
      </c>
      <c r="F20" s="679">
        <v>0</v>
      </c>
      <c r="G20" s="679">
        <v>3790776400.0199995</v>
      </c>
      <c r="H20" s="679">
        <v>0</v>
      </c>
      <c r="I20" s="679">
        <v>574853423.20000005</v>
      </c>
      <c r="J20" s="679">
        <v>1308356.17</v>
      </c>
      <c r="K20" s="679">
        <v>45571227.210000001</v>
      </c>
      <c r="L20" s="679">
        <v>106914.8</v>
      </c>
      <c r="M20" s="1198">
        <v>0</v>
      </c>
    </row>
    <row r="21" spans="1:13">
      <c r="A21" s="681">
        <f t="shared" si="0"/>
        <v>12</v>
      </c>
      <c r="B21" s="701" t="s">
        <v>563</v>
      </c>
      <c r="C21" s="679">
        <v>5454556667.920001</v>
      </c>
      <c r="D21" s="679">
        <v>350884005.38999999</v>
      </c>
      <c r="E21" s="679">
        <v>2039005371.7299995</v>
      </c>
      <c r="F21" s="679">
        <v>0</v>
      </c>
      <c r="G21" s="679">
        <v>3806449844.8500009</v>
      </c>
      <c r="H21" s="679">
        <v>0</v>
      </c>
      <c r="I21" s="679">
        <v>576583531.10000002</v>
      </c>
      <c r="J21" s="679">
        <v>1308356.17</v>
      </c>
      <c r="K21" s="679">
        <v>45571227.210000001</v>
      </c>
      <c r="L21" s="679">
        <v>106914.8</v>
      </c>
      <c r="M21" s="1198">
        <v>0</v>
      </c>
    </row>
    <row r="22" spans="1:13">
      <c r="A22" s="680">
        <f t="shared" si="0"/>
        <v>13</v>
      </c>
      <c r="B22" s="700" t="s">
        <v>627</v>
      </c>
      <c r="C22" s="679">
        <v>5465103800.7900009</v>
      </c>
      <c r="D22" s="679">
        <v>350884005.38999999</v>
      </c>
      <c r="E22" s="679">
        <v>2063381123.5699999</v>
      </c>
      <c r="F22" s="679">
        <v>0</v>
      </c>
      <c r="G22" s="679">
        <v>3842072946.6499987</v>
      </c>
      <c r="H22" s="679">
        <v>0</v>
      </c>
      <c r="I22" s="679">
        <v>573310251.74000001</v>
      </c>
      <c r="J22" s="679">
        <v>1308356.17</v>
      </c>
      <c r="K22" s="679">
        <v>45571227.210000001</v>
      </c>
      <c r="L22" s="679">
        <v>106914.8</v>
      </c>
      <c r="M22" s="1198">
        <v>0</v>
      </c>
    </row>
    <row r="23" spans="1:13" ht="13.5" thickBot="1">
      <c r="A23" s="881">
        <f t="shared" si="0"/>
        <v>14</v>
      </c>
      <c r="B23" s="882" t="s">
        <v>853</v>
      </c>
      <c r="C23" s="697">
        <f>SUM(C10:C22)/13</f>
        <v>5438048971.9330769</v>
      </c>
      <c r="D23" s="697">
        <f>SUM(D10:D22)/13</f>
        <v>349168344.89538455</v>
      </c>
      <c r="E23" s="697">
        <f t="shared" ref="E23:M23" si="1">SUM(E10:E22)/13</f>
        <v>1994115329.7376924</v>
      </c>
      <c r="F23" s="697">
        <f t="shared" si="1"/>
        <v>0</v>
      </c>
      <c r="G23" s="697">
        <f t="shared" si="1"/>
        <v>3690718978.3299999</v>
      </c>
      <c r="H23" s="697">
        <f t="shared" si="1"/>
        <v>0</v>
      </c>
      <c r="I23" s="697">
        <f t="shared" si="1"/>
        <v>563441518.95307696</v>
      </c>
      <c r="J23" s="697">
        <f t="shared" si="1"/>
        <v>1308356.1700000002</v>
      </c>
      <c r="K23" s="1165">
        <f t="shared" si="1"/>
        <v>70420969.508461565</v>
      </c>
      <c r="L23" s="1157">
        <f t="shared" si="1"/>
        <v>98690.584615384636</v>
      </c>
      <c r="M23" s="1158">
        <f t="shared" si="1"/>
        <v>0</v>
      </c>
    </row>
    <row r="24" spans="1:13" ht="13.5" thickTop="1">
      <c r="A24" s="82"/>
      <c r="B24" s="675"/>
      <c r="C24" s="696"/>
      <c r="D24" s="674"/>
      <c r="E24" s="674"/>
      <c r="F24" s="674"/>
      <c r="G24" s="696"/>
      <c r="H24" s="696"/>
      <c r="I24" s="696"/>
      <c r="J24" s="707"/>
      <c r="K24" s="707"/>
    </row>
    <row r="25" spans="1:13" ht="12.75" customHeight="1">
      <c r="A25" s="82"/>
      <c r="B25" s="706"/>
      <c r="C25" s="1227" t="s">
        <v>652</v>
      </c>
      <c r="D25" s="1228"/>
      <c r="E25" s="1228"/>
      <c r="F25" s="1228"/>
      <c r="G25" s="1228"/>
      <c r="H25" s="1228"/>
      <c r="I25" s="1228"/>
      <c r="J25" s="1228"/>
      <c r="K25" s="1228"/>
      <c r="L25" s="1228"/>
      <c r="M25" s="1229"/>
    </row>
    <row r="26" spans="1:13" s="490" customFormat="1" ht="25.5">
      <c r="A26" s="705" t="s">
        <v>643</v>
      </c>
      <c r="B26" s="704" t="s">
        <v>642</v>
      </c>
      <c r="C26" s="689" t="s">
        <v>230</v>
      </c>
      <c r="D26" s="689" t="s">
        <v>651</v>
      </c>
      <c r="E26" s="689" t="s">
        <v>116</v>
      </c>
      <c r="F26" s="689" t="s">
        <v>650</v>
      </c>
      <c r="G26" s="689" t="s">
        <v>439</v>
      </c>
      <c r="H26" s="689" t="s">
        <v>649</v>
      </c>
      <c r="I26" s="689" t="s">
        <v>335</v>
      </c>
      <c r="J26" s="689" t="s">
        <v>648</v>
      </c>
      <c r="K26" s="1163" t="s">
        <v>647</v>
      </c>
      <c r="L26" s="689" t="s">
        <v>1395</v>
      </c>
      <c r="M26" s="688" t="s">
        <v>1396</v>
      </c>
    </row>
    <row r="27" spans="1:13" s="682" customFormat="1">
      <c r="A27" s="681"/>
      <c r="B27" s="686" t="s">
        <v>637</v>
      </c>
      <c r="C27" s="685" t="s">
        <v>636</v>
      </c>
      <c r="D27" s="685" t="s">
        <v>635</v>
      </c>
      <c r="E27" s="685" t="s">
        <v>634</v>
      </c>
      <c r="F27" s="685" t="s">
        <v>633</v>
      </c>
      <c r="G27" s="685" t="s">
        <v>655</v>
      </c>
      <c r="H27" s="685" t="s">
        <v>656</v>
      </c>
      <c r="I27" s="685" t="s">
        <v>646</v>
      </c>
      <c r="J27" s="685" t="s">
        <v>645</v>
      </c>
      <c r="K27" s="1164" t="s">
        <v>644</v>
      </c>
      <c r="L27" s="685" t="s">
        <v>1397</v>
      </c>
      <c r="M27" s="686" t="s">
        <v>1398</v>
      </c>
    </row>
    <row r="28" spans="1:13" s="682" customFormat="1" ht="44.25" customHeight="1">
      <c r="A28" s="681"/>
      <c r="B28" s="686" t="s">
        <v>632</v>
      </c>
      <c r="C28" s="703" t="s">
        <v>380</v>
      </c>
      <c r="D28" s="703" t="s">
        <v>660</v>
      </c>
      <c r="E28" s="703" t="s">
        <v>381</v>
      </c>
      <c r="F28" s="703" t="s">
        <v>661</v>
      </c>
      <c r="G28" s="703" t="s">
        <v>508</v>
      </c>
      <c r="H28" s="703" t="s">
        <v>662</v>
      </c>
      <c r="I28" s="703" t="s">
        <v>482</v>
      </c>
      <c r="J28" s="703" t="s">
        <v>663</v>
      </c>
      <c r="K28" s="703" t="s">
        <v>509</v>
      </c>
      <c r="L28" s="1155" t="s">
        <v>1401</v>
      </c>
      <c r="M28" s="1156" t="s">
        <v>662</v>
      </c>
    </row>
    <row r="29" spans="1:13">
      <c r="A29" s="681">
        <f>+A23+1</f>
        <v>15</v>
      </c>
      <c r="B29" s="702" t="s">
        <v>630</v>
      </c>
      <c r="C29" s="679">
        <v>3035916746.1599998</v>
      </c>
      <c r="D29" s="679">
        <v>252230713.11000001</v>
      </c>
      <c r="E29" s="679">
        <v>490422263.39999992</v>
      </c>
      <c r="F29" s="679">
        <v>0</v>
      </c>
      <c r="G29" s="679">
        <v>795232113.48000002</v>
      </c>
      <c r="H29" s="679">
        <v>0</v>
      </c>
      <c r="I29" s="679">
        <v>46755007.469999976</v>
      </c>
      <c r="J29" s="679">
        <v>345178.47000000003</v>
      </c>
      <c r="K29" s="679">
        <v>265393726.22999999</v>
      </c>
      <c r="L29" s="679">
        <v>0</v>
      </c>
      <c r="M29" s="1197">
        <v>0</v>
      </c>
    </row>
    <row r="30" spans="1:13">
      <c r="A30" s="681">
        <f>+A29+1</f>
        <v>16</v>
      </c>
      <c r="B30" s="702" t="s">
        <v>186</v>
      </c>
      <c r="C30" s="679">
        <v>3059250899.3500004</v>
      </c>
      <c r="D30" s="679">
        <v>253124044.63000003</v>
      </c>
      <c r="E30" s="679">
        <v>491329744.11999995</v>
      </c>
      <c r="F30" s="679">
        <v>0</v>
      </c>
      <c r="G30" s="679">
        <v>798710481.14999998</v>
      </c>
      <c r="H30" s="679">
        <v>0</v>
      </c>
      <c r="I30" s="679">
        <v>196342960.77000001</v>
      </c>
      <c r="J30" s="679">
        <v>349154.21</v>
      </c>
      <c r="K30" s="679">
        <v>120731051.05</v>
      </c>
      <c r="L30" s="679">
        <v>-511795.47</v>
      </c>
      <c r="M30" s="1198">
        <v>0</v>
      </c>
    </row>
    <row r="31" spans="1:13">
      <c r="A31" s="681">
        <f t="shared" ref="A31:A42" si="2">+A30+1</f>
        <v>17</v>
      </c>
      <c r="B31" s="701" t="s">
        <v>561</v>
      </c>
      <c r="C31" s="679">
        <v>3080058541.96</v>
      </c>
      <c r="D31" s="679">
        <v>254017375.83000001</v>
      </c>
      <c r="E31" s="679">
        <v>485097113.54000002</v>
      </c>
      <c r="F31" s="679">
        <v>0</v>
      </c>
      <c r="G31" s="679">
        <v>803210877.33999991</v>
      </c>
      <c r="H31" s="679">
        <v>0</v>
      </c>
      <c r="I31" s="679">
        <v>199993327.09</v>
      </c>
      <c r="J31" s="679">
        <v>353129.98</v>
      </c>
      <c r="K31" s="679">
        <v>120904514.06</v>
      </c>
      <c r="L31" s="679">
        <v>-510939.26</v>
      </c>
      <c r="M31" s="1198">
        <v>0</v>
      </c>
    </row>
    <row r="32" spans="1:13">
      <c r="A32" s="681">
        <f t="shared" si="2"/>
        <v>18</v>
      </c>
      <c r="B32" s="701" t="s">
        <v>629</v>
      </c>
      <c r="C32" s="679">
        <v>3100005354.750001</v>
      </c>
      <c r="D32" s="679">
        <v>254910707.18000001</v>
      </c>
      <c r="E32" s="679">
        <v>486898376.6400001</v>
      </c>
      <c r="F32" s="679">
        <v>0</v>
      </c>
      <c r="G32" s="679">
        <v>806279692.76999986</v>
      </c>
      <c r="H32" s="679">
        <v>0</v>
      </c>
      <c r="I32" s="679">
        <v>197065391.36999989</v>
      </c>
      <c r="J32" s="679">
        <v>357105.72000000003</v>
      </c>
      <c r="K32" s="679">
        <v>121077976.86000001</v>
      </c>
      <c r="L32" s="679">
        <v>-510083.05</v>
      </c>
      <c r="M32" s="1198">
        <v>0</v>
      </c>
    </row>
    <row r="33" spans="1:13">
      <c r="A33" s="681">
        <f t="shared" si="2"/>
        <v>19</v>
      </c>
      <c r="B33" s="701" t="s">
        <v>188</v>
      </c>
      <c r="C33" s="679">
        <v>3114389289.0099988</v>
      </c>
      <c r="D33" s="679">
        <v>255824925.98000002</v>
      </c>
      <c r="E33" s="679">
        <v>491349740.03999996</v>
      </c>
      <c r="F33" s="679">
        <v>0</v>
      </c>
      <c r="G33" s="679">
        <v>809555801.37</v>
      </c>
      <c r="H33" s="679">
        <v>0</v>
      </c>
      <c r="I33" s="679">
        <v>201848232.29000005</v>
      </c>
      <c r="J33" s="679">
        <v>361081.49</v>
      </c>
      <c r="K33" s="679">
        <v>121251439.86999997</v>
      </c>
      <c r="L33" s="679">
        <v>-509226.84</v>
      </c>
      <c r="M33" s="1198">
        <v>0</v>
      </c>
    </row>
    <row r="34" spans="1:13">
      <c r="A34" s="681">
        <f t="shared" si="2"/>
        <v>20</v>
      </c>
      <c r="B34" s="701" t="s">
        <v>189</v>
      </c>
      <c r="C34" s="679">
        <v>3130723920.3299999</v>
      </c>
      <c r="D34" s="679">
        <v>256739144.84999999</v>
      </c>
      <c r="E34" s="679">
        <v>494019066.43000019</v>
      </c>
      <c r="F34" s="679">
        <v>0</v>
      </c>
      <c r="G34" s="679">
        <v>811173016.63</v>
      </c>
      <c r="H34" s="679">
        <v>0</v>
      </c>
      <c r="I34" s="679">
        <v>206834894.41999993</v>
      </c>
      <c r="J34" s="679">
        <v>365057.23</v>
      </c>
      <c r="K34" s="679">
        <v>121424902.91000001</v>
      </c>
      <c r="L34" s="679">
        <v>-508370.63</v>
      </c>
      <c r="M34" s="1198">
        <v>0</v>
      </c>
    </row>
    <row r="35" spans="1:13">
      <c r="A35" s="681">
        <f t="shared" si="2"/>
        <v>21</v>
      </c>
      <c r="B35" s="701" t="s">
        <v>383</v>
      </c>
      <c r="C35" s="679">
        <v>3148997083.5500007</v>
      </c>
      <c r="D35" s="679">
        <v>257653363.84999996</v>
      </c>
      <c r="E35" s="679">
        <v>497088047.96000004</v>
      </c>
      <c r="F35" s="679">
        <v>0</v>
      </c>
      <c r="G35" s="679">
        <v>810981840.70999992</v>
      </c>
      <c r="H35" s="679">
        <v>0</v>
      </c>
      <c r="I35" s="679">
        <v>204747176.77000001</v>
      </c>
      <c r="J35" s="679">
        <v>369032.99</v>
      </c>
      <c r="K35" s="679">
        <v>121599264.39999999</v>
      </c>
      <c r="L35" s="679">
        <v>-507514.42</v>
      </c>
      <c r="M35" s="1198">
        <v>0</v>
      </c>
    </row>
    <row r="36" spans="1:13">
      <c r="A36" s="681">
        <f t="shared" si="2"/>
        <v>22</v>
      </c>
      <c r="B36" s="701" t="s">
        <v>190</v>
      </c>
      <c r="C36" s="679">
        <v>3170424224.46</v>
      </c>
      <c r="D36" s="679">
        <v>258642858.19</v>
      </c>
      <c r="E36" s="679">
        <v>498492689.0800001</v>
      </c>
      <c r="F36" s="679">
        <v>0</v>
      </c>
      <c r="G36" s="679">
        <v>810499807.40999997</v>
      </c>
      <c r="H36" s="679">
        <v>0</v>
      </c>
      <c r="I36" s="679">
        <v>209095557.89000002</v>
      </c>
      <c r="J36" s="679">
        <v>373008.74</v>
      </c>
      <c r="K36" s="679">
        <v>121767910.93000001</v>
      </c>
      <c r="L36" s="679">
        <v>-506658.21</v>
      </c>
      <c r="M36" s="1198">
        <v>0</v>
      </c>
    </row>
    <row r="37" spans="1:13">
      <c r="A37" s="681">
        <f t="shared" si="2"/>
        <v>23</v>
      </c>
      <c r="B37" s="701" t="s">
        <v>628</v>
      </c>
      <c r="C37" s="679">
        <v>3191490806.1499996</v>
      </c>
      <c r="D37" s="679">
        <v>259632352.60999998</v>
      </c>
      <c r="E37" s="679">
        <v>499485851.82000011</v>
      </c>
      <c r="F37" s="679">
        <v>0</v>
      </c>
      <c r="G37" s="679">
        <v>808059277.50999999</v>
      </c>
      <c r="H37" s="679">
        <v>0</v>
      </c>
      <c r="I37" s="679">
        <v>213447586.89999995</v>
      </c>
      <c r="J37" s="679">
        <v>376861.57</v>
      </c>
      <c r="K37" s="679">
        <v>121941373.94</v>
      </c>
      <c r="L37" s="679">
        <v>-505802</v>
      </c>
      <c r="M37" s="1198">
        <v>0</v>
      </c>
    </row>
    <row r="38" spans="1:13">
      <c r="A38" s="681">
        <f t="shared" si="2"/>
        <v>24</v>
      </c>
      <c r="B38" s="701" t="s">
        <v>193</v>
      </c>
      <c r="C38" s="679">
        <v>3212227332.0299997</v>
      </c>
      <c r="D38" s="679">
        <v>260621847.05000001</v>
      </c>
      <c r="E38" s="679">
        <v>498810538.63000011</v>
      </c>
      <c r="F38" s="679">
        <v>0</v>
      </c>
      <c r="G38" s="679">
        <v>810921721.22000027</v>
      </c>
      <c r="H38" s="679">
        <v>0</v>
      </c>
      <c r="I38" s="679">
        <v>195940737.61000001</v>
      </c>
      <c r="J38" s="679">
        <v>380714.41000000003</v>
      </c>
      <c r="K38" s="679">
        <v>122114836.98</v>
      </c>
      <c r="L38" s="679">
        <v>-504945.79000000004</v>
      </c>
      <c r="M38" s="1198">
        <v>0</v>
      </c>
    </row>
    <row r="39" spans="1:13">
      <c r="A39" s="681">
        <f t="shared" si="2"/>
        <v>25</v>
      </c>
      <c r="B39" s="701" t="s">
        <v>562</v>
      </c>
      <c r="C39" s="679">
        <v>3231733092.6500001</v>
      </c>
      <c r="D39" s="679">
        <v>261611341.31999999</v>
      </c>
      <c r="E39" s="679">
        <v>499808887.94999993</v>
      </c>
      <c r="F39" s="679">
        <v>0</v>
      </c>
      <c r="G39" s="679">
        <v>812445897.9400003</v>
      </c>
      <c r="H39" s="679">
        <v>0</v>
      </c>
      <c r="I39" s="679">
        <v>197980771.07999992</v>
      </c>
      <c r="J39" s="679">
        <v>384567.25</v>
      </c>
      <c r="K39" s="679">
        <v>122286626.44</v>
      </c>
      <c r="L39" s="679">
        <v>-504089.58</v>
      </c>
      <c r="M39" s="1198">
        <v>0</v>
      </c>
    </row>
    <row r="40" spans="1:13">
      <c r="A40" s="681">
        <f t="shared" si="2"/>
        <v>26</v>
      </c>
      <c r="B40" s="701" t="s">
        <v>563</v>
      </c>
      <c r="C40" s="679">
        <v>3251742929.23</v>
      </c>
      <c r="D40" s="679">
        <v>262600835.87</v>
      </c>
      <c r="E40" s="679">
        <v>496708129.49000007</v>
      </c>
      <c r="F40" s="679">
        <v>0</v>
      </c>
      <c r="G40" s="679">
        <v>814410091.58000004</v>
      </c>
      <c r="H40" s="679">
        <v>0</v>
      </c>
      <c r="I40" s="679">
        <v>202087894.67999995</v>
      </c>
      <c r="J40" s="679">
        <v>388420.08</v>
      </c>
      <c r="K40" s="679">
        <v>122460970.77999999</v>
      </c>
      <c r="L40" s="679">
        <v>-503233.37</v>
      </c>
      <c r="M40" s="1198">
        <v>0</v>
      </c>
    </row>
    <row r="41" spans="1:13">
      <c r="A41" s="680">
        <f t="shared" si="2"/>
        <v>27</v>
      </c>
      <c r="B41" s="700" t="s">
        <v>627</v>
      </c>
      <c r="C41" s="679">
        <v>3265611338.29</v>
      </c>
      <c r="D41" s="679">
        <v>263590330.05000001</v>
      </c>
      <c r="E41" s="679">
        <v>495231444.06000006</v>
      </c>
      <c r="F41" s="679">
        <v>0</v>
      </c>
      <c r="G41" s="679">
        <v>816972592.37999988</v>
      </c>
      <c r="H41" s="679">
        <v>0</v>
      </c>
      <c r="I41" s="679">
        <v>193352228.48999995</v>
      </c>
      <c r="J41" s="679">
        <v>392272.92</v>
      </c>
      <c r="K41" s="679">
        <v>122641156.35000001</v>
      </c>
      <c r="L41" s="679">
        <v>-502377.16000000003</v>
      </c>
      <c r="M41" s="1199">
        <v>0</v>
      </c>
    </row>
    <row r="42" spans="1:13" ht="13.5" thickBot="1">
      <c r="A42" s="699">
        <f t="shared" si="2"/>
        <v>28</v>
      </c>
      <c r="B42" s="882" t="s">
        <v>853</v>
      </c>
      <c r="C42" s="697">
        <f>SUM(C29:C41)/13</f>
        <v>3153274735.2246151</v>
      </c>
      <c r="D42" s="697">
        <f t="shared" ref="D42:M42" si="3">SUM(D29:D41)/13</f>
        <v>257784603.11692312</v>
      </c>
      <c r="E42" s="697">
        <f t="shared" si="3"/>
        <v>494210914.8584615</v>
      </c>
      <c r="F42" s="697">
        <f t="shared" si="3"/>
        <v>0</v>
      </c>
      <c r="G42" s="697">
        <f t="shared" si="3"/>
        <v>808342554.73000002</v>
      </c>
      <c r="H42" s="697">
        <f t="shared" si="3"/>
        <v>0</v>
      </c>
      <c r="I42" s="697">
        <f t="shared" si="3"/>
        <v>189653212.83307689</v>
      </c>
      <c r="J42" s="697">
        <f t="shared" si="3"/>
        <v>368891.15846153843</v>
      </c>
      <c r="K42" s="1165">
        <f t="shared" si="3"/>
        <v>132738134.67692307</v>
      </c>
      <c r="L42" s="1157">
        <f t="shared" si="3"/>
        <v>-468079.67538461543</v>
      </c>
      <c r="M42" s="1158">
        <f t="shared" si="3"/>
        <v>0</v>
      </c>
    </row>
    <row r="43" spans="1:13" ht="13.5" thickTop="1">
      <c r="A43" s="82"/>
      <c r="B43" s="675"/>
      <c r="C43" s="696"/>
      <c r="D43" s="674"/>
      <c r="E43" s="674"/>
      <c r="F43" s="674"/>
      <c r="G43" s="696"/>
      <c r="H43"/>
      <c r="I43"/>
      <c r="J43"/>
      <c r="K43"/>
    </row>
    <row r="44" spans="1:13">
      <c r="A44" s="82"/>
      <c r="B44" s="675"/>
      <c r="C44" s="696"/>
      <c r="D44" s="674"/>
      <c r="E44" s="674"/>
      <c r="F44" s="674"/>
      <c r="G44" s="696"/>
      <c r="H44" s="696"/>
      <c r="I44" s="696"/>
    </row>
    <row r="45" spans="1:13">
      <c r="A45" s="695"/>
      <c r="B45" s="694"/>
      <c r="C45" s="693"/>
      <c r="D45" s="692"/>
      <c r="E45" s="692"/>
      <c r="F45" s="1167"/>
      <c r="G45" s="1159"/>
      <c r="H45" s="1160"/>
      <c r="I45"/>
      <c r="J45"/>
      <c r="K45"/>
    </row>
    <row r="46" spans="1:13" ht="72" customHeight="1">
      <c r="A46" s="691" t="s">
        <v>643</v>
      </c>
      <c r="B46" s="685" t="s">
        <v>642</v>
      </c>
      <c r="C46" s="690" t="s">
        <v>641</v>
      </c>
      <c r="D46" s="689" t="s">
        <v>640</v>
      </c>
      <c r="E46" s="689" t="s">
        <v>639</v>
      </c>
      <c r="F46" s="689" t="s">
        <v>638</v>
      </c>
      <c r="G46" s="689" t="s">
        <v>1402</v>
      </c>
      <c r="H46" s="688" t="s">
        <v>1403</v>
      </c>
      <c r="I46"/>
      <c r="J46"/>
      <c r="K46"/>
    </row>
    <row r="47" spans="1:13" s="682" customFormat="1">
      <c r="A47" s="681"/>
      <c r="B47" s="685" t="s">
        <v>637</v>
      </c>
      <c r="C47" s="687" t="s">
        <v>636</v>
      </c>
      <c r="D47" s="685" t="s">
        <v>635</v>
      </c>
      <c r="E47" s="685" t="s">
        <v>634</v>
      </c>
      <c r="F47" s="685" t="s">
        <v>633</v>
      </c>
      <c r="G47" s="685" t="s">
        <v>655</v>
      </c>
      <c r="H47" s="686" t="s">
        <v>656</v>
      </c>
      <c r="I47"/>
      <c r="J47"/>
      <c r="K47"/>
      <c r="L47" s="4"/>
    </row>
    <row r="48" spans="1:13" s="682" customFormat="1" ht="63.75">
      <c r="A48" s="681"/>
      <c r="B48" s="685" t="s">
        <v>632</v>
      </c>
      <c r="C48" s="684" t="s">
        <v>664</v>
      </c>
      <c r="D48" s="684" t="s">
        <v>665</v>
      </c>
      <c r="E48" s="683" t="s">
        <v>631</v>
      </c>
      <c r="F48" s="683" t="s">
        <v>631</v>
      </c>
      <c r="G48" s="1161" t="s">
        <v>631</v>
      </c>
      <c r="H48" s="1162" t="s">
        <v>631</v>
      </c>
      <c r="I48"/>
      <c r="J48"/>
      <c r="K48"/>
      <c r="L48" s="4"/>
    </row>
    <row r="49" spans="1:11">
      <c r="A49" s="681">
        <f>+A42+1</f>
        <v>29</v>
      </c>
      <c r="B49" s="702" t="s">
        <v>630</v>
      </c>
      <c r="C49" s="679">
        <v>58615065.219999999</v>
      </c>
      <c r="D49" s="679">
        <v>14369315.959999997</v>
      </c>
      <c r="E49" s="679">
        <v>0</v>
      </c>
      <c r="F49" s="1166"/>
      <c r="G49" s="679">
        <v>0</v>
      </c>
      <c r="H49" s="1197">
        <v>0</v>
      </c>
      <c r="I49"/>
      <c r="J49"/>
      <c r="K49"/>
    </row>
    <row r="50" spans="1:11">
      <c r="A50" s="681">
        <f>+A49+1</f>
        <v>30</v>
      </c>
      <c r="B50" s="702" t="s">
        <v>186</v>
      </c>
      <c r="C50" s="679">
        <v>58630853.899999991</v>
      </c>
      <c r="D50" s="679">
        <v>14502389.920000002</v>
      </c>
      <c r="E50" s="679">
        <v>0</v>
      </c>
      <c r="F50" s="679"/>
      <c r="G50" s="679">
        <v>106914.8</v>
      </c>
      <c r="H50" s="1198">
        <v>-511795.47</v>
      </c>
      <c r="I50"/>
      <c r="J50"/>
      <c r="K50"/>
    </row>
    <row r="51" spans="1:11">
      <c r="A51" s="681">
        <f t="shared" ref="A51:A62" si="4">+A50+1</f>
        <v>31</v>
      </c>
      <c r="B51" s="701" t="s">
        <v>561</v>
      </c>
      <c r="C51" s="679">
        <v>58631718.379999995</v>
      </c>
      <c r="D51" s="679">
        <v>13449242.800000001</v>
      </c>
      <c r="E51" s="679">
        <v>137465.19</v>
      </c>
      <c r="F51" s="679"/>
      <c r="G51" s="679">
        <v>106914.8</v>
      </c>
      <c r="H51" s="1198">
        <v>-510939.26</v>
      </c>
      <c r="I51"/>
      <c r="J51"/>
      <c r="K51"/>
    </row>
    <row r="52" spans="1:11">
      <c r="A52" s="681">
        <f t="shared" si="4"/>
        <v>32</v>
      </c>
      <c r="B52" s="701" t="s">
        <v>629</v>
      </c>
      <c r="C52" s="679">
        <v>58621204.189999998</v>
      </c>
      <c r="D52" s="679">
        <v>13581177.310000001</v>
      </c>
      <c r="E52" s="679">
        <v>21730.28</v>
      </c>
      <c r="F52" s="679"/>
      <c r="G52" s="679">
        <v>106914.8</v>
      </c>
      <c r="H52" s="1198">
        <v>-510083.05</v>
      </c>
      <c r="I52"/>
      <c r="J52"/>
      <c r="K52"/>
    </row>
    <row r="53" spans="1:11">
      <c r="A53" s="681">
        <f t="shared" si="4"/>
        <v>33</v>
      </c>
      <c r="B53" s="701" t="s">
        <v>188</v>
      </c>
      <c r="C53" s="679">
        <v>58576233.5</v>
      </c>
      <c r="D53" s="679">
        <v>13713077.390000001</v>
      </c>
      <c r="E53" s="679">
        <v>222579.69999999998</v>
      </c>
      <c r="F53" s="679"/>
      <c r="G53" s="679">
        <v>106914.8</v>
      </c>
      <c r="H53" s="1198">
        <v>-509226.84</v>
      </c>
      <c r="I53"/>
      <c r="J53"/>
      <c r="K53"/>
    </row>
    <row r="54" spans="1:11">
      <c r="A54" s="681">
        <f t="shared" si="4"/>
        <v>34</v>
      </c>
      <c r="B54" s="701" t="s">
        <v>189</v>
      </c>
      <c r="C54" s="679">
        <v>58576233.5</v>
      </c>
      <c r="D54" s="679">
        <v>13844876.279999999</v>
      </c>
      <c r="E54" s="679">
        <v>-355450.08</v>
      </c>
      <c r="F54" s="679"/>
      <c r="G54" s="679">
        <v>106914.8</v>
      </c>
      <c r="H54" s="1198">
        <v>-508370.63</v>
      </c>
      <c r="I54"/>
      <c r="J54"/>
      <c r="K54"/>
    </row>
    <row r="55" spans="1:11">
      <c r="A55" s="681">
        <f t="shared" si="4"/>
        <v>35</v>
      </c>
      <c r="B55" s="701" t="s">
        <v>383</v>
      </c>
      <c r="C55" s="679">
        <v>58576233.5</v>
      </c>
      <c r="D55" s="679">
        <v>13976675.040000001</v>
      </c>
      <c r="E55" s="679">
        <v>1245.44999999998</v>
      </c>
      <c r="F55" s="679"/>
      <c r="G55" s="679">
        <v>106914.8</v>
      </c>
      <c r="H55" s="1198">
        <v>-507514.42</v>
      </c>
      <c r="I55"/>
      <c r="J55"/>
      <c r="K55"/>
    </row>
    <row r="56" spans="1:11">
      <c r="A56" s="681">
        <f t="shared" si="4"/>
        <v>36</v>
      </c>
      <c r="B56" s="701" t="s">
        <v>190</v>
      </c>
      <c r="C56" s="679">
        <v>58683044.739999995</v>
      </c>
      <c r="D56" s="679">
        <v>14131989.9</v>
      </c>
      <c r="E56" s="679">
        <v>1784.47</v>
      </c>
      <c r="F56" s="679"/>
      <c r="G56" s="679">
        <v>106914.8</v>
      </c>
      <c r="H56" s="1198">
        <v>-506658.21</v>
      </c>
      <c r="I56"/>
      <c r="J56"/>
      <c r="K56"/>
    </row>
    <row r="57" spans="1:11">
      <c r="A57" s="681">
        <f t="shared" si="4"/>
        <v>37</v>
      </c>
      <c r="B57" s="701" t="s">
        <v>628</v>
      </c>
      <c r="C57" s="679">
        <v>58683044.739999995</v>
      </c>
      <c r="D57" s="679">
        <v>14263548.609999999</v>
      </c>
      <c r="E57" s="679">
        <v>0</v>
      </c>
      <c r="F57" s="679"/>
      <c r="G57" s="679">
        <v>106914.8</v>
      </c>
      <c r="H57" s="1198">
        <v>-505802</v>
      </c>
      <c r="I57"/>
      <c r="J57"/>
      <c r="K57"/>
    </row>
    <row r="58" spans="1:11">
      <c r="A58" s="681">
        <f t="shared" si="4"/>
        <v>38</v>
      </c>
      <c r="B58" s="701" t="s">
        <v>193</v>
      </c>
      <c r="C58" s="679">
        <v>61719528.329999998</v>
      </c>
      <c r="D58" s="679">
        <v>14028898.16</v>
      </c>
      <c r="E58" s="679">
        <v>0</v>
      </c>
      <c r="F58" s="679"/>
      <c r="G58" s="679">
        <v>106914.8</v>
      </c>
      <c r="H58" s="1198">
        <v>-504945.79000000004</v>
      </c>
      <c r="I58"/>
      <c r="J58"/>
      <c r="K58"/>
    </row>
    <row r="59" spans="1:11">
      <c r="A59" s="681">
        <f t="shared" si="4"/>
        <v>39</v>
      </c>
      <c r="B59" s="701" t="s">
        <v>562</v>
      </c>
      <c r="C59" s="679">
        <v>61730081.039999992</v>
      </c>
      <c r="D59" s="679">
        <v>14180045.399999999</v>
      </c>
      <c r="E59" s="679">
        <v>7101.6400000000103</v>
      </c>
      <c r="F59" s="679"/>
      <c r="G59" s="679">
        <v>106914.8</v>
      </c>
      <c r="H59" s="1198">
        <v>-504089.58</v>
      </c>
      <c r="I59"/>
      <c r="J59"/>
      <c r="K59"/>
    </row>
    <row r="60" spans="1:11">
      <c r="A60" s="681">
        <f t="shared" si="4"/>
        <v>40</v>
      </c>
      <c r="B60" s="701" t="s">
        <v>563</v>
      </c>
      <c r="C60" s="679">
        <v>61718250.629999995</v>
      </c>
      <c r="D60" s="679">
        <v>14291800.01</v>
      </c>
      <c r="E60" s="679">
        <v>682098.62</v>
      </c>
      <c r="F60" s="679"/>
      <c r="G60" s="679">
        <v>106914.8</v>
      </c>
      <c r="H60" s="1198">
        <v>-503233.37</v>
      </c>
      <c r="I60"/>
      <c r="J60"/>
      <c r="K60"/>
    </row>
    <row r="61" spans="1:11">
      <c r="A61" s="680">
        <f t="shared" si="4"/>
        <v>41</v>
      </c>
      <c r="B61" s="700" t="s">
        <v>627</v>
      </c>
      <c r="C61" s="679">
        <v>61861201.090000004</v>
      </c>
      <c r="D61" s="679">
        <v>14425278.939999999</v>
      </c>
      <c r="E61" s="679">
        <v>0</v>
      </c>
      <c r="F61" s="679"/>
      <c r="G61" s="679">
        <v>106914.8</v>
      </c>
      <c r="H61" s="1199">
        <v>-502377.16000000003</v>
      </c>
      <c r="I61"/>
      <c r="J61"/>
      <c r="K61"/>
    </row>
    <row r="62" spans="1:11" ht="13.5" thickBot="1">
      <c r="A62" s="678">
        <f t="shared" si="4"/>
        <v>42</v>
      </c>
      <c r="B62" s="882" t="s">
        <v>853</v>
      </c>
      <c r="C62" s="697">
        <f>SUM(C49:C61)/13</f>
        <v>59586360.98153846</v>
      </c>
      <c r="D62" s="676">
        <f>SUM(D49:D61)/13</f>
        <v>14058331.978461538</v>
      </c>
      <c r="E62" s="676">
        <f>SUM(E49:E61)/13</f>
        <v>55273.482307692298</v>
      </c>
      <c r="F62" s="1168">
        <f>SUM(F49:F61)/13</f>
        <v>0</v>
      </c>
      <c r="G62" s="1157">
        <f t="shared" ref="G62:H62" si="5">SUM(G49:G61)/13</f>
        <v>98690.584615384636</v>
      </c>
      <c r="H62" s="1158">
        <f t="shared" si="5"/>
        <v>-468079.67538461543</v>
      </c>
      <c r="I62"/>
      <c r="J62"/>
      <c r="K62"/>
    </row>
    <row r="63" spans="1:11" ht="13.5" thickTop="1">
      <c r="A63" s="82"/>
      <c r="B63" s="675"/>
      <c r="G63"/>
      <c r="H63"/>
      <c r="I63"/>
      <c r="J63"/>
      <c r="K63"/>
    </row>
    <row r="64" spans="1:11">
      <c r="A64" s="82">
        <v>43</v>
      </c>
      <c r="B64" s="675" t="s">
        <v>626</v>
      </c>
      <c r="D64" s="477">
        <f>+E42-D62</f>
        <v>480152582.87999994</v>
      </c>
      <c r="I64" s="674"/>
    </row>
    <row r="65" spans="1:7" customFormat="1"/>
    <row r="66" spans="1:7" customFormat="1">
      <c r="A66" s="673"/>
      <c r="B66" s="230"/>
      <c r="C66" s="231"/>
      <c r="D66" s="232"/>
      <c r="E66" s="59"/>
      <c r="F66" s="59"/>
      <c r="G66" s="69"/>
    </row>
    <row r="67" spans="1:7" customFormat="1" ht="25.5">
      <c r="A67" s="712" t="s">
        <v>3</v>
      </c>
      <c r="B67" s="230"/>
      <c r="C67" s="709" t="s">
        <v>2</v>
      </c>
      <c r="D67" s="710" t="str">
        <f>"Balance @ December 31, "&amp;TCOS!L4&amp;""</f>
        <v>Balance @ December 31, 2025</v>
      </c>
      <c r="E67" s="711" t="str">
        <f>"Balance @ December 31, "&amp;TCOS!L4-1&amp;""</f>
        <v>Balance @ December 31, 2024</v>
      </c>
      <c r="F67" s="711" t="str">
        <f>"Average Balance for "&amp;TCOS!L4&amp;""</f>
        <v>Average Balance for 2025</v>
      </c>
      <c r="G67" s="69"/>
    </row>
    <row r="68" spans="1:7" customFormat="1">
      <c r="A68" s="74"/>
      <c r="B68" s="685" t="s">
        <v>637</v>
      </c>
      <c r="C68" s="685" t="s">
        <v>636</v>
      </c>
      <c r="D68" s="685" t="s">
        <v>635</v>
      </c>
      <c r="E68" s="685" t="s">
        <v>634</v>
      </c>
      <c r="F68" s="685" t="s">
        <v>633</v>
      </c>
      <c r="G68" s="69"/>
    </row>
    <row r="69" spans="1:7" customFormat="1">
      <c r="A69" s="230">
        <f>+A64+1</f>
        <v>44</v>
      </c>
      <c r="B69" s="74" t="s">
        <v>3</v>
      </c>
      <c r="C69" s="233" t="s">
        <v>375</v>
      </c>
      <c r="D69" s="621">
        <v>1320294.3</v>
      </c>
      <c r="E69" s="621">
        <v>1320294.3</v>
      </c>
      <c r="F69" s="108">
        <f>IF(E69="",0,AVERAGE(D69:E69))</f>
        <v>1320294.3</v>
      </c>
    </row>
    <row r="70" spans="1:7" customFormat="1">
      <c r="A70" s="229"/>
      <c r="B70" s="234"/>
      <c r="C70" s="234"/>
      <c r="F70" s="69"/>
    </row>
    <row r="71" spans="1:7" customFormat="1">
      <c r="A71" s="228">
        <f>+A69+1</f>
        <v>45</v>
      </c>
      <c r="B71" s="74" t="s">
        <v>816</v>
      </c>
      <c r="C71" s="245" t="s">
        <v>68</v>
      </c>
      <c r="D71" s="621">
        <v>146629</v>
      </c>
      <c r="E71" s="621">
        <v>146629</v>
      </c>
      <c r="F71" s="108">
        <f>IF(E71="",0,AVERAGE(D71:E71))</f>
        <v>146629</v>
      </c>
    </row>
    <row r="72" spans="1:7" customFormat="1">
      <c r="A72" s="72"/>
      <c r="B72" s="72"/>
      <c r="C72" s="72"/>
      <c r="D72" s="72"/>
    </row>
    <row r="73" spans="1:7" customFormat="1">
      <c r="A73" s="74" t="s">
        <v>237</v>
      </c>
      <c r="B73" s="72"/>
      <c r="C73" s="72"/>
      <c r="D73" s="72"/>
    </row>
    <row r="74" spans="1:7" customFormat="1">
      <c r="A74" s="232"/>
      <c r="B74" s="232" t="s">
        <v>361</v>
      </c>
      <c r="C74" s="232"/>
      <c r="D74" s="57"/>
      <c r="E74" s="57"/>
      <c r="F74" s="57"/>
    </row>
    <row r="75" spans="1:7" customFormat="1">
      <c r="A75" s="230">
        <f>+A71+1</f>
        <v>46</v>
      </c>
      <c r="B75" s="927" t="s">
        <v>115</v>
      </c>
      <c r="C75" s="827"/>
      <c r="D75" s="621"/>
      <c r="E75" s="621"/>
      <c r="F75" s="108">
        <f>IF(E75="",0,AVERAGE(D75:E75))</f>
        <v>0</v>
      </c>
    </row>
    <row r="76" spans="1:7" customFormat="1">
      <c r="A76" s="230">
        <f>+A75+1</f>
        <v>47</v>
      </c>
      <c r="B76" s="622"/>
      <c r="C76" s="622"/>
      <c r="D76" s="621"/>
      <c r="E76" s="621"/>
      <c r="F76" s="108">
        <f>IF(E76="",0,AVERAGE(D76:E76))</f>
        <v>0</v>
      </c>
    </row>
    <row r="77" spans="1:7" customFormat="1">
      <c r="A77" s="230">
        <f>+A76+1</f>
        <v>48</v>
      </c>
      <c r="B77" s="622"/>
      <c r="C77" s="622"/>
      <c r="D77" s="621"/>
      <c r="E77" s="621"/>
      <c r="F77" s="108">
        <f>IF(E77="",0,AVERAGE(D77:E77))</f>
        <v>0</v>
      </c>
    </row>
    <row r="78" spans="1:7" customFormat="1">
      <c r="A78" s="230">
        <f>+A77+1</f>
        <v>49</v>
      </c>
      <c r="B78" s="622"/>
      <c r="C78" s="622"/>
      <c r="D78" s="621"/>
      <c r="E78" s="621"/>
      <c r="F78" s="108">
        <f>IF(E78="",0,AVERAGE(D78:E78))</f>
        <v>0</v>
      </c>
    </row>
    <row r="79" spans="1:7" customFormat="1">
      <c r="A79" s="230">
        <f>+A78+1</f>
        <v>50</v>
      </c>
      <c r="B79" s="622"/>
      <c r="C79" s="622"/>
      <c r="D79" s="623"/>
      <c r="E79" s="623"/>
      <c r="F79" s="713">
        <f>IF(E79="",0,AVERAGE(D79:E79))</f>
        <v>0</v>
      </c>
    </row>
    <row r="80" spans="1:7" customFormat="1">
      <c r="A80" s="230">
        <f>+A79+1</f>
        <v>51</v>
      </c>
      <c r="B80" s="232" t="s">
        <v>498</v>
      </c>
      <c r="C80" s="232"/>
      <c r="D80" s="148">
        <f>SUM(D75:D79)</f>
        <v>0</v>
      </c>
      <c r="E80" s="148">
        <f>SUM(E75:E79)</f>
        <v>0</v>
      </c>
      <c r="F80" s="148">
        <f>SUM(F75:F79)</f>
        <v>0</v>
      </c>
    </row>
    <row r="81" spans="1:7" customFormat="1">
      <c r="A81" s="230"/>
      <c r="B81" s="232"/>
      <c r="C81" s="232"/>
      <c r="D81" s="148"/>
      <c r="E81" s="148"/>
      <c r="F81" s="148"/>
    </row>
    <row r="82" spans="1:7" customFormat="1" ht="18">
      <c r="A82" s="74" t="s">
        <v>749</v>
      </c>
      <c r="B82" s="670"/>
      <c r="C82" s="670"/>
      <c r="D82" s="670"/>
      <c r="E82" s="57"/>
      <c r="F82" s="57"/>
      <c r="G82" s="57"/>
    </row>
    <row r="83" spans="1:7" customFormat="1">
      <c r="A83" s="58"/>
      <c r="B83" s="197"/>
      <c r="C83" s="200"/>
      <c r="D83" s="5"/>
      <c r="E83" s="57"/>
      <c r="F83" s="57"/>
      <c r="G83" s="57"/>
    </row>
    <row r="84" spans="1:7" customFormat="1">
      <c r="A84" s="58">
        <f>+A80+1</f>
        <v>52</v>
      </c>
      <c r="B84" s="9" t="s">
        <v>168</v>
      </c>
      <c r="C84" s="9" t="s">
        <v>307</v>
      </c>
      <c r="D84" s="4"/>
      <c r="F84" s="9"/>
    </row>
    <row r="85" spans="1:7" customFormat="1" ht="14.25">
      <c r="A85" s="82" t="s">
        <v>742</v>
      </c>
      <c r="B85" s="927" t="s">
        <v>859</v>
      </c>
      <c r="C85" s="827">
        <v>2282003</v>
      </c>
      <c r="D85" s="621">
        <v>16553.36</v>
      </c>
      <c r="E85" s="621">
        <v>112173.53</v>
      </c>
      <c r="F85" s="714">
        <f>IF(E85="",0,AVERAGE(D85:E85))</f>
        <v>64363.445</v>
      </c>
    </row>
    <row r="86" spans="1:7" customFormat="1" ht="14.25">
      <c r="A86" s="82" t="s">
        <v>743</v>
      </c>
      <c r="B86" s="927" t="s">
        <v>1075</v>
      </c>
      <c r="C86" s="827" t="s">
        <v>1077</v>
      </c>
      <c r="D86" s="621">
        <v>172504.57</v>
      </c>
      <c r="E86" s="621">
        <v>135252.71</v>
      </c>
      <c r="F86" s="714">
        <f>IF(E86="",0,AVERAGE(D86:E86))</f>
        <v>153878.64000000001</v>
      </c>
    </row>
    <row r="87" spans="1:7" customFormat="1" ht="14.25">
      <c r="A87" s="1092" t="s">
        <v>1074</v>
      </c>
      <c r="B87" s="927" t="s">
        <v>1076</v>
      </c>
      <c r="C87" s="827" t="s">
        <v>1078</v>
      </c>
      <c r="D87" s="623">
        <v>1105069.8</v>
      </c>
      <c r="E87" s="623">
        <v>731493.99</v>
      </c>
      <c r="F87" s="715">
        <f>IF(E87="",0,AVERAGE(D87:E87))</f>
        <v>918281.89500000002</v>
      </c>
    </row>
    <row r="88" spans="1:7" customFormat="1" ht="18" customHeight="1">
      <c r="A88" s="1">
        <v>54</v>
      </c>
      <c r="C88" s="4" t="s">
        <v>119</v>
      </c>
      <c r="D88" s="477">
        <f>SUM(D85:D87)</f>
        <v>1294127.73</v>
      </c>
      <c r="E88" s="477">
        <f>SUM(E85:E87)</f>
        <v>978920.23</v>
      </c>
      <c r="F88" s="477">
        <f>SUM(F85:F87)</f>
        <v>1136523.98</v>
      </c>
    </row>
    <row r="89" spans="1:7" customFormat="1">
      <c r="A89" s="230"/>
      <c r="B89" s="232"/>
      <c r="C89" s="232"/>
      <c r="D89" s="232"/>
    </row>
    <row r="90" spans="1:7">
      <c r="A90" s="59" t="s">
        <v>668</v>
      </c>
      <c r="B90" s="232"/>
      <c r="C90" s="232"/>
      <c r="D90" s="232"/>
    </row>
    <row r="91" spans="1:7">
      <c r="A91" s="59" t="s">
        <v>667</v>
      </c>
      <c r="B91" s="232"/>
      <c r="C91" s="232"/>
      <c r="D91" s="232"/>
    </row>
    <row r="92" spans="1:7">
      <c r="A92"/>
      <c r="B92"/>
      <c r="C92"/>
      <c r="D92"/>
    </row>
    <row r="93" spans="1:7">
      <c r="A93"/>
      <c r="B93"/>
      <c r="C93"/>
      <c r="D93"/>
    </row>
    <row r="94" spans="1:7">
      <c r="A94"/>
      <c r="B94"/>
      <c r="C94"/>
      <c r="D94"/>
    </row>
    <row r="95" spans="1:7">
      <c r="A95"/>
      <c r="B95"/>
      <c r="C95"/>
      <c r="D95"/>
    </row>
    <row r="96" spans="1:7">
      <c r="A96"/>
      <c r="B96"/>
      <c r="C96"/>
      <c r="D96"/>
    </row>
  </sheetData>
  <mergeCells count="6">
    <mergeCell ref="C25:M25"/>
    <mergeCell ref="A1:G1"/>
    <mergeCell ref="A2:G2"/>
    <mergeCell ref="A3:G3"/>
    <mergeCell ref="A4:G4"/>
    <mergeCell ref="C6:M6"/>
  </mergeCells>
  <pageMargins left="0.7" right="0.7" top="0.75" bottom="0.75" header="0.3" footer="0.3"/>
  <pageSetup scale="47" fitToHeight="0" orientation="landscape" cellComments="asDisplayed" r:id="rId1"/>
  <headerFooter>
    <oddHeader>&amp;RPage  &amp;P of &amp;N</oddHeader>
  </headerFooter>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U34"/>
  <sheetViews>
    <sheetView tabSelected="1" view="pageBreakPreview" zoomScale="80" zoomScaleNormal="100" zoomScaleSheetLayoutView="80" workbookViewId="0">
      <selection activeCell="D9" sqref="D9"/>
    </sheetView>
  </sheetViews>
  <sheetFormatPr defaultRowHeight="12.75"/>
  <cols>
    <col min="2" max="2" width="11.85546875" customWidth="1"/>
    <col min="3" max="3" width="1" customWidth="1"/>
    <col min="8" max="8" width="1.5703125" customWidth="1"/>
    <col min="9" max="9" width="9.85546875" customWidth="1"/>
    <col min="10" max="10" width="1.5703125" customWidth="1"/>
    <col min="11" max="11" width="12.5703125" customWidth="1"/>
    <col min="12" max="12" width="1.5703125" customWidth="1"/>
    <col min="13" max="13" width="13.5703125" customWidth="1"/>
    <col min="14" max="14" width="1.140625" customWidth="1"/>
    <col min="15" max="15" width="14.85546875" customWidth="1"/>
    <col min="16" max="16" width="2.5703125" customWidth="1"/>
    <col min="17" max="17" width="12.5703125" customWidth="1"/>
    <col min="18" max="18" width="1.85546875" customWidth="1"/>
    <col min="19" max="19" width="17.5703125" customWidth="1"/>
    <col min="20" max="20" width="1.85546875" customWidth="1"/>
    <col min="21" max="21" width="10.42578125" customWidth="1"/>
  </cols>
  <sheetData>
    <row r="1" spans="1:21" ht="15.75">
      <c r="A1" s="669" t="s">
        <v>115</v>
      </c>
    </row>
    <row r="2" spans="1:21" ht="15.75">
      <c r="A2" s="669" t="s">
        <v>115</v>
      </c>
    </row>
    <row r="3" spans="1:21" ht="18">
      <c r="A3" s="1269" t="s">
        <v>388</v>
      </c>
      <c r="B3" s="1269"/>
      <c r="C3" s="1269"/>
      <c r="D3" s="1269"/>
      <c r="E3" s="1269"/>
      <c r="F3" s="1269"/>
      <c r="G3" s="1269"/>
      <c r="H3" s="1269"/>
      <c r="I3" s="1269"/>
      <c r="J3" s="1269"/>
      <c r="K3" s="1269"/>
      <c r="L3" s="1269"/>
      <c r="M3" s="1269"/>
      <c r="N3" s="1269"/>
      <c r="O3" s="1269"/>
    </row>
    <row r="4" spans="1:21" ht="18">
      <c r="A4" s="1268" t="str">
        <f>"Cost of Service Formula Rate Using Actual/Projected FF1 Balances"</f>
        <v>Cost of Service Formula Rate Using Actual/Projected FF1 Balances</v>
      </c>
      <c r="B4" s="1268"/>
      <c r="C4" s="1268"/>
      <c r="D4" s="1268"/>
      <c r="E4" s="1268"/>
      <c r="F4" s="1268"/>
      <c r="G4" s="1268"/>
      <c r="H4" s="1268"/>
      <c r="I4" s="1268"/>
      <c r="J4" s="1268"/>
      <c r="K4" s="1268"/>
      <c r="L4" s="1268"/>
      <c r="M4" s="1268"/>
      <c r="N4" s="1268"/>
      <c r="O4" s="1268"/>
    </row>
    <row r="5" spans="1:21" ht="18">
      <c r="A5" s="1268" t="s">
        <v>240</v>
      </c>
      <c r="B5" s="1268"/>
      <c r="C5" s="1268"/>
      <c r="D5" s="1268"/>
      <c r="E5" s="1268"/>
      <c r="F5" s="1268"/>
      <c r="G5" s="1268"/>
      <c r="H5" s="1268"/>
      <c r="I5" s="1268"/>
      <c r="J5" s="1268"/>
      <c r="K5" s="1268"/>
      <c r="L5" s="1268"/>
      <c r="M5" s="1268"/>
      <c r="N5" s="1268"/>
      <c r="O5" s="1268"/>
    </row>
    <row r="6" spans="1:21" ht="18">
      <c r="A6" s="1262" t="str">
        <f>+TCOS!F9</f>
        <v xml:space="preserve">Indiana Michigan Power Company </v>
      </c>
      <c r="B6" s="1262"/>
      <c r="C6" s="1262"/>
      <c r="D6" s="1262"/>
      <c r="E6" s="1262"/>
      <c r="F6" s="1262"/>
      <c r="G6" s="1262"/>
      <c r="H6" s="1262"/>
      <c r="I6" s="1262"/>
      <c r="J6" s="1262"/>
      <c r="K6" s="1262"/>
      <c r="L6" s="1262"/>
      <c r="M6" s="1262"/>
      <c r="N6" s="1262"/>
      <c r="O6" s="1262"/>
    </row>
    <row r="7" spans="1:21" ht="12.75" customHeight="1">
      <c r="A7" s="129"/>
      <c r="B7" s="129"/>
      <c r="C7" s="129"/>
      <c r="D7" s="129"/>
      <c r="E7" s="129"/>
      <c r="F7" s="129"/>
      <c r="G7" s="129"/>
      <c r="H7" s="129"/>
      <c r="I7" s="129"/>
      <c r="J7" s="129"/>
      <c r="K7" s="129"/>
      <c r="L7" s="129"/>
    </row>
    <row r="8" spans="1:21" ht="12.75" customHeight="1">
      <c r="A8" s="1299" t="s">
        <v>391</v>
      </c>
      <c r="B8" s="1299"/>
      <c r="C8" s="1299"/>
      <c r="D8" s="1299"/>
      <c r="E8" s="1299"/>
      <c r="F8" s="1299"/>
      <c r="G8" s="1299"/>
      <c r="H8" s="1299"/>
      <c r="I8" s="1299"/>
      <c r="J8" s="1299"/>
      <c r="K8" s="1299"/>
      <c r="L8" s="1299"/>
      <c r="M8" s="1299"/>
      <c r="N8" s="1299"/>
      <c r="O8" s="1299"/>
    </row>
    <row r="9" spans="1:21" ht="12.75" customHeight="1">
      <c r="A9" s="1299"/>
      <c r="B9" s="1299"/>
      <c r="C9" s="1299"/>
      <c r="D9" s="1299"/>
      <c r="E9" s="1299"/>
      <c r="F9" s="1299"/>
      <c r="G9" s="1299"/>
      <c r="H9" s="1299"/>
      <c r="I9" s="1299"/>
      <c r="J9" s="1299"/>
      <c r="K9" s="1299"/>
      <c r="L9" s="1299"/>
      <c r="M9" s="1299"/>
      <c r="N9" s="1299"/>
      <c r="O9" s="1299"/>
    </row>
    <row r="10" spans="1:21">
      <c r="A10" s="1299"/>
      <c r="B10" s="1299"/>
      <c r="C10" s="1299"/>
      <c r="D10" s="1299"/>
      <c r="E10" s="1299"/>
      <c r="F10" s="1299"/>
      <c r="G10" s="1299"/>
      <c r="H10" s="1299"/>
      <c r="I10" s="1299"/>
      <c r="J10" s="1299"/>
      <c r="K10" s="1299"/>
      <c r="L10" s="1299"/>
      <c r="M10" s="1299"/>
      <c r="N10" s="1299"/>
      <c r="O10" s="1299"/>
    </row>
    <row r="11" spans="1:21">
      <c r="A11" s="1299"/>
      <c r="B11" s="1299"/>
      <c r="C11" s="1299"/>
      <c r="D11" s="1299"/>
      <c r="E11" s="1299"/>
      <c r="F11" s="1299"/>
      <c r="G11" s="1299"/>
      <c r="H11" s="1299"/>
      <c r="I11" s="1299"/>
      <c r="J11" s="1299"/>
      <c r="K11" s="1299"/>
      <c r="L11" s="1299"/>
      <c r="M11" s="1299"/>
      <c r="N11" s="1299"/>
      <c r="O11" s="1299"/>
    </row>
    <row r="12" spans="1:21">
      <c r="B12" s="1" t="s">
        <v>163</v>
      </c>
      <c r="C12" s="1"/>
      <c r="D12" s="1214" t="s">
        <v>164</v>
      </c>
      <c r="E12" s="1214"/>
      <c r="F12" s="1214"/>
      <c r="G12" s="1214"/>
      <c r="H12" s="1"/>
      <c r="I12" s="1" t="s">
        <v>4</v>
      </c>
      <c r="J12" s="1"/>
      <c r="K12" s="1" t="s">
        <v>166</v>
      </c>
      <c r="L12" s="1"/>
      <c r="M12" s="1" t="s">
        <v>85</v>
      </c>
      <c r="N12" s="1"/>
      <c r="O12" s="1" t="s">
        <v>86</v>
      </c>
      <c r="P12" s="1"/>
      <c r="Q12" s="1" t="s">
        <v>20</v>
      </c>
      <c r="R12" s="1"/>
      <c r="S12" s="1" t="s">
        <v>92</v>
      </c>
      <c r="T12" s="1"/>
      <c r="U12" s="82" t="s">
        <v>501</v>
      </c>
    </row>
    <row r="13" spans="1:21">
      <c r="I13" s="1297" t="s">
        <v>18</v>
      </c>
      <c r="Q13" s="1296" t="s">
        <v>19</v>
      </c>
      <c r="S13" s="1297" t="s">
        <v>21</v>
      </c>
      <c r="U13" s="236" t="s">
        <v>81</v>
      </c>
    </row>
    <row r="14" spans="1:21">
      <c r="A14" s="138" t="s">
        <v>17</v>
      </c>
      <c r="B14" s="138" t="s">
        <v>13</v>
      </c>
      <c r="C14" s="138"/>
      <c r="D14" s="175" t="s">
        <v>14</v>
      </c>
      <c r="E14" s="138"/>
      <c r="F14" s="138"/>
      <c r="G14" s="138"/>
      <c r="H14" s="138"/>
      <c r="I14" s="1283"/>
      <c r="J14" s="138"/>
      <c r="K14" s="138" t="s">
        <v>15</v>
      </c>
      <c r="L14" s="138"/>
      <c r="M14" s="138" t="s">
        <v>16</v>
      </c>
      <c r="N14" s="138"/>
      <c r="O14" s="138" t="s">
        <v>494</v>
      </c>
      <c r="Q14" s="1296"/>
      <c r="S14" s="1297"/>
      <c r="U14" s="236" t="s">
        <v>307</v>
      </c>
    </row>
    <row r="15" spans="1:21">
      <c r="A15" s="138"/>
      <c r="B15" s="138"/>
      <c r="C15" s="138"/>
      <c r="D15" s="175"/>
      <c r="E15" s="138"/>
      <c r="F15" s="138"/>
      <c r="G15" s="138"/>
      <c r="H15" s="138"/>
      <c r="I15" t="s">
        <v>492</v>
      </c>
      <c r="J15" s="138"/>
      <c r="K15" s="138"/>
      <c r="L15" s="138"/>
      <c r="M15" s="138"/>
      <c r="N15" s="138"/>
      <c r="O15" s="138"/>
      <c r="Q15" s="195"/>
      <c r="S15" s="138" t="s">
        <v>494</v>
      </c>
    </row>
    <row r="16" spans="1:21">
      <c r="I16" t="s">
        <v>493</v>
      </c>
    </row>
    <row r="17" spans="1:21">
      <c r="A17" s="1">
        <v>1</v>
      </c>
      <c r="B17" s="660"/>
      <c r="D17" s="1298"/>
      <c r="E17" s="1298"/>
      <c r="F17" s="1298"/>
      <c r="G17" s="1298"/>
      <c r="I17" s="661"/>
      <c r="K17" s="659"/>
      <c r="L17" s="109"/>
      <c r="M17" s="659"/>
      <c r="O17" s="147">
        <f>+K17-M17</f>
        <v>0</v>
      </c>
      <c r="Q17" s="183">
        <f>IF(I17="G",TCOS!L257,IF(I17="T",1,0))</f>
        <v>0</v>
      </c>
      <c r="S17" s="147">
        <f>ROUND(O17*Q17,0)</f>
        <v>0</v>
      </c>
      <c r="U17" s="662"/>
    </row>
    <row r="18" spans="1:21">
      <c r="A18" s="1"/>
      <c r="D18" s="1298"/>
      <c r="E18" s="1298"/>
      <c r="F18" s="1298"/>
      <c r="G18" s="1298"/>
      <c r="K18" s="109"/>
      <c r="L18" s="109"/>
      <c r="M18" s="109"/>
      <c r="O18" s="109"/>
      <c r="Q18" s="183"/>
      <c r="S18" s="109"/>
    </row>
    <row r="19" spans="1:21">
      <c r="A19" s="1"/>
      <c r="D19" s="1298"/>
      <c r="E19" s="1298"/>
      <c r="F19" s="1298"/>
      <c r="G19" s="1298"/>
      <c r="K19" s="109"/>
      <c r="L19" s="109"/>
      <c r="M19" s="109"/>
      <c r="O19" s="109"/>
      <c r="Q19" s="183"/>
      <c r="S19" s="109"/>
    </row>
    <row r="20" spans="1:21">
      <c r="A20" s="1"/>
      <c r="K20" s="109"/>
      <c r="L20" s="109"/>
      <c r="M20" s="109"/>
      <c r="O20" s="109"/>
      <c r="Q20" s="183"/>
      <c r="S20" s="109"/>
    </row>
    <row r="21" spans="1:21">
      <c r="A21" s="1"/>
      <c r="K21" s="109"/>
      <c r="L21" s="109"/>
      <c r="M21" s="109"/>
      <c r="O21" s="109"/>
      <c r="Q21" s="183"/>
      <c r="S21" s="109"/>
    </row>
    <row r="22" spans="1:21" ht="12" customHeight="1">
      <c r="A22" s="1">
        <f>+A17+1</f>
        <v>2</v>
      </c>
      <c r="B22" s="660"/>
      <c r="D22" s="1298"/>
      <c r="E22" s="1298"/>
      <c r="F22" s="1298"/>
      <c r="G22" s="1298"/>
      <c r="I22" s="661"/>
      <c r="K22" s="659"/>
      <c r="L22" s="109"/>
      <c r="M22" s="659"/>
      <c r="O22" s="147">
        <f>+K22-M22</f>
        <v>0</v>
      </c>
      <c r="Q22" s="183">
        <f>IF(I22="G",TCOS!L257,IF(I22="T",1,0))</f>
        <v>0</v>
      </c>
      <c r="S22" s="147">
        <f>ROUND(O22*Q22,0)</f>
        <v>0</v>
      </c>
      <c r="U22" s="662"/>
    </row>
    <row r="23" spans="1:21">
      <c r="A23" s="1"/>
      <c r="D23" s="1298"/>
      <c r="E23" s="1298"/>
      <c r="F23" s="1298"/>
      <c r="G23" s="1298"/>
      <c r="K23" s="109"/>
      <c r="L23" s="109"/>
      <c r="M23" s="109"/>
      <c r="O23" s="109"/>
      <c r="Q23" s="183"/>
      <c r="S23" s="109"/>
    </row>
    <row r="24" spans="1:21">
      <c r="A24" s="1"/>
      <c r="D24" s="1298"/>
      <c r="E24" s="1298"/>
      <c r="F24" s="1298"/>
      <c r="G24" s="1298"/>
      <c r="K24" s="109"/>
      <c r="L24" s="109"/>
      <c r="M24" s="109"/>
      <c r="O24" s="109"/>
      <c r="Q24" s="183"/>
      <c r="S24" s="109"/>
    </row>
    <row r="25" spans="1:21">
      <c r="A25" s="1"/>
      <c r="I25" s="1"/>
      <c r="K25" s="109"/>
      <c r="L25" s="109"/>
      <c r="M25" s="109"/>
      <c r="O25" s="109"/>
      <c r="Q25" s="183"/>
      <c r="S25" s="109"/>
    </row>
    <row r="26" spans="1:21">
      <c r="A26" s="1"/>
      <c r="I26" s="1"/>
      <c r="K26" s="109"/>
      <c r="L26" s="109"/>
      <c r="M26" s="109"/>
      <c r="O26" s="109"/>
      <c r="Q26" s="183"/>
      <c r="S26" s="109"/>
    </row>
    <row r="27" spans="1:21">
      <c r="A27" s="1">
        <f>+A22+1</f>
        <v>3</v>
      </c>
      <c r="B27" s="660"/>
      <c r="D27" s="1298"/>
      <c r="E27" s="1298"/>
      <c r="F27" s="1298"/>
      <c r="G27" s="1298"/>
      <c r="I27" s="661"/>
      <c r="K27" s="659"/>
      <c r="L27" s="109"/>
      <c r="M27" s="659"/>
      <c r="O27" s="147">
        <f>+K27-M27</f>
        <v>0</v>
      </c>
      <c r="Q27" s="183">
        <f>IF(I27="G",TCOS!L257,IF(I27="T",1,0))</f>
        <v>0</v>
      </c>
      <c r="S27" s="147">
        <f>ROUND(O27*Q27,0)</f>
        <v>0</v>
      </c>
      <c r="U27" s="662"/>
    </row>
    <row r="28" spans="1:21">
      <c r="A28" s="1"/>
      <c r="D28" s="1298"/>
      <c r="E28" s="1298"/>
      <c r="F28" s="1298"/>
      <c r="G28" s="1298"/>
      <c r="K28" s="109"/>
      <c r="L28" s="109"/>
      <c r="M28" s="109"/>
      <c r="O28" s="109"/>
      <c r="Q28" s="183"/>
      <c r="S28" s="109"/>
    </row>
    <row r="29" spans="1:21">
      <c r="A29" s="1"/>
      <c r="D29" s="1298"/>
      <c r="E29" s="1298"/>
      <c r="F29" s="1298"/>
      <c r="G29" s="1298"/>
      <c r="K29" s="109"/>
      <c r="L29" s="109"/>
      <c r="M29" s="109"/>
      <c r="O29" s="109"/>
      <c r="Q29" s="183"/>
    </row>
    <row r="30" spans="1:21">
      <c r="A30" s="1"/>
      <c r="O30" s="109"/>
      <c r="Q30" s="183"/>
    </row>
    <row r="31" spans="1:21">
      <c r="A31" s="1"/>
      <c r="O31" s="109"/>
      <c r="Q31" s="183"/>
    </row>
    <row r="32" spans="1:21">
      <c r="A32" s="1"/>
      <c r="O32" s="109"/>
      <c r="Q32" s="183"/>
    </row>
    <row r="33" spans="1:19" ht="13.5" thickBot="1">
      <c r="A33" s="1">
        <f>+A27+1</f>
        <v>4</v>
      </c>
      <c r="K33" t="str">
        <f>"Net (Gain) or Loss for "&amp;TCOS!L4&amp;""</f>
        <v>Net (Gain) or Loss for 2025</v>
      </c>
      <c r="O33" s="193">
        <f>SUM(O17:O27)</f>
        <v>0</v>
      </c>
      <c r="Q33" s="194"/>
      <c r="S33" s="193">
        <f>SUM(S17:S27)</f>
        <v>0</v>
      </c>
    </row>
    <row r="34" spans="1:19" ht="13.5" thickTop="1">
      <c r="A34" s="1"/>
      <c r="O34" s="109"/>
      <c r="Q34" s="194"/>
    </row>
  </sheetData>
  <mergeCells count="12">
    <mergeCell ref="A3:O3"/>
    <mergeCell ref="A4:O4"/>
    <mergeCell ref="A5:O5"/>
    <mergeCell ref="I13:I14"/>
    <mergeCell ref="D12:G12"/>
    <mergeCell ref="A6:O6"/>
    <mergeCell ref="A8:O11"/>
    <mergeCell ref="Q13:Q14"/>
    <mergeCell ref="S13:S14"/>
    <mergeCell ref="D17:G19"/>
    <mergeCell ref="D22:G24"/>
    <mergeCell ref="D27:G29"/>
  </mergeCells>
  <phoneticPr fontId="92" type="noConversion"/>
  <pageMargins left="0.75" right="0.75" top="1" bottom="1" header="0.75" footer="0.5"/>
  <pageSetup scale="76" orientation="landscape" r:id="rId1"/>
  <headerFooter alignWithMargins="0">
    <oddHeader>&amp;R&amp;"Arial,Bold"Formula Rate 
&amp;A
Page &amp;P of &amp;N</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V287"/>
  <sheetViews>
    <sheetView tabSelected="1" view="pageBreakPreview" topLeftCell="A11" zoomScaleNormal="75" zoomScaleSheetLayoutView="100" workbookViewId="0">
      <selection activeCell="D9" sqref="D9"/>
    </sheetView>
  </sheetViews>
  <sheetFormatPr defaultColWidth="9.140625" defaultRowHeight="12.75"/>
  <cols>
    <col min="1" max="1" width="8.140625" style="884" customWidth="1"/>
    <col min="2" max="2" width="28.85546875" style="884" customWidth="1"/>
    <col min="3" max="3" width="17.85546875" style="884" customWidth="1"/>
    <col min="4" max="4" width="19.42578125" style="884" customWidth="1"/>
    <col min="5" max="6" width="19.85546875" style="884" customWidth="1"/>
    <col min="7" max="7" width="21.42578125" style="884" customWidth="1"/>
    <col min="8" max="9" width="19.85546875" style="884" customWidth="1"/>
    <col min="10" max="10" width="21.42578125" style="884" customWidth="1"/>
    <col min="11" max="11" width="18.140625" style="884" customWidth="1"/>
    <col min="12" max="12" width="22.42578125" style="884" customWidth="1"/>
    <col min="13" max="13" width="22.140625" style="884" customWidth="1"/>
    <col min="14" max="14" width="11.140625" style="884" customWidth="1"/>
    <col min="15" max="15" width="11.42578125" style="884" bestFit="1" customWidth="1"/>
    <col min="16" max="16" width="12.42578125" style="884" customWidth="1"/>
    <col min="17" max="17" width="9.140625" style="884"/>
    <col min="18" max="18" width="10.42578125" style="884" bestFit="1" customWidth="1"/>
    <col min="19" max="19" width="9.140625" style="884"/>
    <col min="20" max="20" width="12.85546875" style="884" customWidth="1"/>
    <col min="21" max="21" width="13.5703125" style="884" customWidth="1"/>
    <col min="22" max="16384" width="9.140625" style="884"/>
  </cols>
  <sheetData>
    <row r="1" spans="1:17" ht="15.75">
      <c r="A1" s="883" t="s">
        <v>115</v>
      </c>
    </row>
    <row r="2" spans="1:17" ht="15.75">
      <c r="A2" s="883" t="s">
        <v>115</v>
      </c>
    </row>
    <row r="3" spans="1:17" ht="15.75">
      <c r="A3" s="1306" t="s">
        <v>388</v>
      </c>
      <c r="B3" s="1306"/>
      <c r="C3" s="1306"/>
      <c r="D3" s="1306"/>
      <c r="E3" s="1306"/>
      <c r="F3" s="1306"/>
      <c r="G3" s="1306"/>
      <c r="H3" s="1306"/>
      <c r="I3" s="1306"/>
      <c r="J3" s="1306"/>
      <c r="K3" s="1306"/>
      <c r="L3" s="885"/>
      <c r="M3" s="885"/>
      <c r="N3" s="886"/>
      <c r="O3" s="886"/>
      <c r="P3" s="886"/>
      <c r="Q3" s="886"/>
    </row>
    <row r="4" spans="1:17" ht="15.75">
      <c r="A4" s="1307" t="str">
        <f>"Cost of Service Formula Rate Using Actual/Projected FF1 Balances"</f>
        <v>Cost of Service Formula Rate Using Actual/Projected FF1 Balances</v>
      </c>
      <c r="B4" s="1308"/>
      <c r="C4" s="1308"/>
      <c r="D4" s="1308"/>
      <c r="E4" s="1308"/>
      <c r="F4" s="1308"/>
      <c r="G4" s="1308"/>
      <c r="H4" s="1308"/>
      <c r="I4" s="1308"/>
      <c r="J4" s="1308"/>
      <c r="K4" s="1308"/>
      <c r="L4" s="887"/>
      <c r="M4" s="889"/>
      <c r="N4" s="890"/>
      <c r="O4" s="890"/>
      <c r="P4" s="890"/>
      <c r="Q4" s="890"/>
    </row>
    <row r="5" spans="1:17" ht="15.75">
      <c r="A5" s="1307" t="s">
        <v>844</v>
      </c>
      <c r="B5" s="1307"/>
      <c r="C5" s="1307"/>
      <c r="D5" s="1307"/>
      <c r="E5" s="1307"/>
      <c r="F5" s="1307"/>
      <c r="G5" s="1307"/>
      <c r="H5" s="1307"/>
      <c r="I5" s="1307"/>
      <c r="J5" s="1307"/>
      <c r="K5" s="1307"/>
      <c r="L5" s="887"/>
      <c r="M5" s="891"/>
      <c r="N5" s="891"/>
      <c r="O5" s="891"/>
      <c r="P5" s="891"/>
      <c r="Q5" s="891"/>
    </row>
    <row r="6" spans="1:17" ht="15.75">
      <c r="A6" s="1309" t="str">
        <f>TCOS!F9</f>
        <v xml:space="preserve">Indiana Michigan Power Company </v>
      </c>
      <c r="B6" s="1309"/>
      <c r="C6" s="1309"/>
      <c r="D6" s="1309"/>
      <c r="E6" s="1309"/>
      <c r="F6" s="1309"/>
      <c r="G6" s="1309"/>
      <c r="H6" s="1309"/>
      <c r="I6" s="1309"/>
      <c r="J6" s="1309"/>
      <c r="K6" s="1309"/>
      <c r="L6" s="892"/>
      <c r="M6" s="892"/>
      <c r="N6" s="893"/>
      <c r="O6" s="893"/>
      <c r="P6" s="893"/>
      <c r="Q6" s="893"/>
    </row>
    <row r="9" spans="1:17">
      <c r="B9" s="1302"/>
      <c r="C9" s="1302"/>
      <c r="D9" s="1302"/>
      <c r="E9" s="1302"/>
      <c r="F9" s="1302"/>
      <c r="G9" s="1302"/>
      <c r="H9" s="1302"/>
      <c r="I9" s="1302"/>
      <c r="J9" s="1302"/>
      <c r="K9" s="1302"/>
      <c r="L9" s="1302"/>
      <c r="M9" s="1302"/>
      <c r="N9" s="895"/>
      <c r="O9" s="895"/>
      <c r="P9" s="895"/>
      <c r="Q9" s="895"/>
    </row>
    <row r="10" spans="1:17">
      <c r="I10" s="895"/>
      <c r="J10" s="895"/>
      <c r="K10" s="895"/>
      <c r="L10" s="895"/>
      <c r="M10" s="895"/>
      <c r="N10" s="895"/>
      <c r="O10" s="895"/>
      <c r="P10" s="895"/>
      <c r="Q10" s="895"/>
    </row>
    <row r="11" spans="1:17">
      <c r="I11" s="895"/>
      <c r="J11" s="895"/>
      <c r="K11" s="895"/>
      <c r="L11" s="895"/>
      <c r="M11" s="895"/>
      <c r="N11" s="895"/>
      <c r="O11" s="895"/>
      <c r="P11" s="895"/>
      <c r="Q11" s="895"/>
    </row>
    <row r="12" spans="1:17">
      <c r="A12" s="888">
        <v>1</v>
      </c>
      <c r="B12" s="884" t="s">
        <v>818</v>
      </c>
      <c r="E12" s="1133">
        <v>-203719238.61753508</v>
      </c>
      <c r="J12" s="895"/>
      <c r="K12" s="895"/>
      <c r="L12" s="895"/>
      <c r="M12" s="895"/>
      <c r="N12" s="895"/>
      <c r="O12" s="895"/>
      <c r="P12" s="895"/>
      <c r="Q12" s="895"/>
    </row>
    <row r="13" spans="1:17">
      <c r="J13" s="895"/>
      <c r="K13" s="895"/>
      <c r="L13" s="895"/>
      <c r="M13" s="895"/>
      <c r="N13" s="895"/>
      <c r="O13" s="895"/>
      <c r="P13" s="895"/>
      <c r="Q13" s="895"/>
    </row>
    <row r="14" spans="1:17">
      <c r="B14" s="1305" t="str">
        <f>"Allocation of PBOP Settlement Amount for "&amp;TCOS!L4&amp;""</f>
        <v>Allocation of PBOP Settlement Amount for 2025</v>
      </c>
      <c r="C14" s="1305"/>
      <c r="D14" s="896"/>
      <c r="E14" s="896"/>
      <c r="F14" s="896"/>
      <c r="G14" s="896"/>
      <c r="H14" s="896"/>
      <c r="I14" s="896"/>
      <c r="J14" s="896"/>
      <c r="K14" s="896"/>
      <c r="L14" s="896"/>
      <c r="M14" s="896"/>
      <c r="N14" s="895"/>
      <c r="O14" s="895"/>
      <c r="P14" s="895"/>
      <c r="Q14" s="895"/>
    </row>
    <row r="15" spans="1:17">
      <c r="C15" s="1302" t="s">
        <v>819</v>
      </c>
      <c r="D15" s="1302"/>
      <c r="E15" s="1302"/>
      <c r="F15" s="894"/>
      <c r="N15" s="895"/>
      <c r="O15" s="895"/>
      <c r="P15" s="895"/>
      <c r="Q15" s="895"/>
    </row>
    <row r="16" spans="1:17">
      <c r="C16" s="1303" t="s">
        <v>820</v>
      </c>
      <c r="D16" s="1303" t="s">
        <v>821</v>
      </c>
      <c r="E16" s="1303" t="s">
        <v>822</v>
      </c>
      <c r="F16" s="916"/>
      <c r="G16" s="916"/>
      <c r="H16" s="916"/>
      <c r="I16" s="1303" t="s">
        <v>823</v>
      </c>
      <c r="N16" s="895"/>
      <c r="O16" s="895"/>
      <c r="P16" s="895"/>
      <c r="Q16" s="895"/>
    </row>
    <row r="17" spans="1:17" ht="12.75" customHeight="1">
      <c r="C17" s="1300"/>
      <c r="D17" s="1300"/>
      <c r="E17" s="1300"/>
      <c r="F17" s="1303" t="str">
        <f>"Labor Allocator for "&amp;TCOS!L4&amp;""</f>
        <v>Labor Allocator for 2025</v>
      </c>
      <c r="G17" s="918"/>
      <c r="H17" s="1304" t="s">
        <v>824</v>
      </c>
      <c r="I17" s="1303"/>
      <c r="N17" s="895"/>
      <c r="O17" s="895"/>
      <c r="P17" s="895"/>
      <c r="Q17" s="895"/>
    </row>
    <row r="18" spans="1:17">
      <c r="A18" s="897" t="s">
        <v>825</v>
      </c>
      <c r="B18" s="894" t="s">
        <v>184</v>
      </c>
      <c r="C18" s="1300"/>
      <c r="D18" s="1300"/>
      <c r="E18" s="1300"/>
      <c r="F18" s="1303"/>
      <c r="G18" s="920" t="s">
        <v>826</v>
      </c>
      <c r="H18" s="1304"/>
      <c r="I18" s="1303"/>
      <c r="N18" s="895"/>
      <c r="O18" s="895"/>
      <c r="P18" s="895"/>
      <c r="Q18" s="895"/>
    </row>
    <row r="19" spans="1:17">
      <c r="B19" s="894"/>
      <c r="C19" s="904"/>
      <c r="D19" s="904"/>
      <c r="E19" s="904"/>
      <c r="F19" s="916"/>
      <c r="G19" s="918"/>
      <c r="H19" s="918"/>
      <c r="I19" s="904"/>
      <c r="N19" s="895"/>
      <c r="O19" s="895"/>
      <c r="P19" s="895"/>
      <c r="Q19" s="895"/>
    </row>
    <row r="20" spans="1:17" ht="25.5">
      <c r="B20" s="894"/>
      <c r="C20" s="916" t="s">
        <v>163</v>
      </c>
      <c r="D20" s="916" t="s">
        <v>827</v>
      </c>
      <c r="E20" s="917" t="str">
        <f>"(C )=(B) * "&amp;E12&amp;""</f>
        <v>(C )=(B) * -203719238.617535</v>
      </c>
      <c r="F20" s="916" t="s">
        <v>166</v>
      </c>
      <c r="G20" s="921" t="s">
        <v>828</v>
      </c>
      <c r="H20" s="921" t="s">
        <v>829</v>
      </c>
      <c r="I20" s="917" t="s">
        <v>830</v>
      </c>
      <c r="N20" s="895"/>
      <c r="O20" s="895"/>
      <c r="P20" s="895"/>
      <c r="Q20" s="895"/>
    </row>
    <row r="21" spans="1:17">
      <c r="B21" s="894"/>
      <c r="C21" s="916" t="str">
        <f>"(Line "&amp;A47&amp;")"</f>
        <v>(Line 14)</v>
      </c>
      <c r="D21" s="916"/>
      <c r="E21" s="917"/>
      <c r="F21" s="916"/>
      <c r="G21" s="918"/>
      <c r="H21" s="919"/>
      <c r="I21" s="917"/>
      <c r="N21" s="895"/>
      <c r="O21" s="895"/>
      <c r="P21" s="895"/>
      <c r="Q21" s="895"/>
    </row>
    <row r="22" spans="1:17">
      <c r="A22" s="884">
        <v>2</v>
      </c>
      <c r="B22" s="884" t="s">
        <v>831</v>
      </c>
      <c r="C22" s="970">
        <f>D47</f>
        <v>-15301519.658836434</v>
      </c>
      <c r="D22" s="922">
        <f t="shared" ref="D22:D27" si="0">+C22/C$28</f>
        <v>0.36412705758197317</v>
      </c>
      <c r="E22" s="903">
        <f t="shared" ref="E22:E27" si="1">ROUND(D22*E$28,0)</f>
        <v>-74179687</v>
      </c>
      <c r="F22" s="1082">
        <v>0.11936202903264627</v>
      </c>
      <c r="G22" s="918">
        <f t="shared" ref="G22:G27" si="2">+C22*F22</f>
        <v>-1826420.4337616421</v>
      </c>
      <c r="H22" s="918">
        <f t="shared" ref="H22:H27" si="3">+F22*E22</f>
        <v>-8854237.9533266127</v>
      </c>
      <c r="I22" s="903">
        <f t="shared" ref="I22:I27" si="4">+G22-H22</f>
        <v>7027817.5195649704</v>
      </c>
      <c r="N22" s="895"/>
      <c r="O22" s="895"/>
      <c r="P22" s="895"/>
      <c r="Q22" s="895"/>
    </row>
    <row r="23" spans="1:17">
      <c r="A23" s="884">
        <f t="shared" ref="A23:A28" si="5">+A22+1</f>
        <v>3</v>
      </c>
      <c r="B23" s="884" t="s">
        <v>832</v>
      </c>
      <c r="C23" s="970">
        <f>F47</f>
        <v>-10542358.114148542</v>
      </c>
      <c r="D23" s="922">
        <f t="shared" si="0"/>
        <v>0.25087428736945838</v>
      </c>
      <c r="E23" s="903">
        <f t="shared" si="1"/>
        <v>-51107919</v>
      </c>
      <c r="F23" s="1082">
        <v>4.9622134516203481E-2</v>
      </c>
      <c r="G23" s="918">
        <f t="shared" si="2"/>
        <v>-523134.31245826819</v>
      </c>
      <c r="H23" s="918">
        <f t="shared" si="3"/>
        <v>-2536084.0314612319</v>
      </c>
      <c r="I23" s="903">
        <f t="shared" si="4"/>
        <v>2012949.7190029637</v>
      </c>
      <c r="N23" s="895"/>
      <c r="O23" s="895"/>
      <c r="P23" s="895"/>
      <c r="Q23" s="895"/>
    </row>
    <row r="24" spans="1:17">
      <c r="A24" s="884">
        <f t="shared" si="5"/>
        <v>4</v>
      </c>
      <c r="B24" s="884" t="s">
        <v>833</v>
      </c>
      <c r="C24" s="970">
        <f>G47</f>
        <v>-3474539.3644135403</v>
      </c>
      <c r="D24" s="922">
        <f t="shared" si="0"/>
        <v>8.2682885322832619E-2</v>
      </c>
      <c r="E24" s="903">
        <f t="shared" si="1"/>
        <v>-16844094</v>
      </c>
      <c r="F24" s="1082">
        <v>0.11037346423821143</v>
      </c>
      <c r="G24" s="918">
        <f t="shared" si="2"/>
        <v>-383496.94628235576</v>
      </c>
      <c r="H24" s="918">
        <f t="shared" si="3"/>
        <v>-1859141.0067340718</v>
      </c>
      <c r="I24" s="903">
        <f t="shared" si="4"/>
        <v>1475644.060451716</v>
      </c>
      <c r="N24" s="895"/>
      <c r="O24" s="895"/>
      <c r="P24" s="895"/>
      <c r="Q24" s="895"/>
    </row>
    <row r="25" spans="1:17">
      <c r="A25" s="884">
        <f t="shared" si="5"/>
        <v>5</v>
      </c>
      <c r="B25" s="884" t="s">
        <v>834</v>
      </c>
      <c r="C25" s="970">
        <f>H47</f>
        <v>-393490.40255542228</v>
      </c>
      <c r="D25" s="922">
        <f t="shared" si="0"/>
        <v>9.3638086715465141E-3</v>
      </c>
      <c r="E25" s="903">
        <f t="shared" si="1"/>
        <v>-1907588</v>
      </c>
      <c r="F25" s="1082">
        <v>0.12397626165284048</v>
      </c>
      <c r="G25" s="918">
        <f t="shared" si="2"/>
        <v>-48783.469105092561</v>
      </c>
      <c r="H25" s="918">
        <f t="shared" si="3"/>
        <v>-236495.62901381866</v>
      </c>
      <c r="I25" s="903">
        <f t="shared" si="4"/>
        <v>187712.15990872611</v>
      </c>
      <c r="N25" s="895"/>
      <c r="O25" s="895"/>
      <c r="P25" s="895"/>
      <c r="Q25" s="895"/>
    </row>
    <row r="26" spans="1:17">
      <c r="A26" s="884">
        <f t="shared" si="5"/>
        <v>6</v>
      </c>
      <c r="B26" s="884" t="s">
        <v>835</v>
      </c>
      <c r="C26" s="970">
        <f>I47</f>
        <v>-11437962.325379781</v>
      </c>
      <c r="D26" s="922">
        <f t="shared" si="0"/>
        <v>0.27218679315089095</v>
      </c>
      <c r="E26" s="903">
        <f t="shared" si="1"/>
        <v>-55449686</v>
      </c>
      <c r="F26" s="1082">
        <v>0.15100284283719081</v>
      </c>
      <c r="G26" s="918">
        <f t="shared" si="2"/>
        <v>-1727164.8273970326</v>
      </c>
      <c r="H26" s="918">
        <f t="shared" si="3"/>
        <v>-8373060.2204295797</v>
      </c>
      <c r="I26" s="903">
        <f t="shared" si="4"/>
        <v>6645895.3930325471</v>
      </c>
      <c r="N26" s="895"/>
      <c r="O26" s="895"/>
      <c r="P26" s="895"/>
      <c r="Q26" s="895"/>
    </row>
    <row r="27" spans="1:17">
      <c r="A27" s="884">
        <f t="shared" si="5"/>
        <v>7</v>
      </c>
      <c r="B27" s="884" t="s">
        <v>836</v>
      </c>
      <c r="C27" s="970">
        <f>J47</f>
        <v>-872603.71970525081</v>
      </c>
      <c r="D27" s="922">
        <f t="shared" si="0"/>
        <v>2.0765167903298274E-2</v>
      </c>
      <c r="E27" s="923">
        <f t="shared" si="1"/>
        <v>-4230264</v>
      </c>
      <c r="F27" s="1083">
        <v>2.4194780770061278E-2</v>
      </c>
      <c r="G27" s="924">
        <f t="shared" si="2"/>
        <v>-21112.455697408543</v>
      </c>
      <c r="H27" s="924">
        <f t="shared" si="3"/>
        <v>-102350.3100794825</v>
      </c>
      <c r="I27" s="923">
        <f t="shared" si="4"/>
        <v>81237.854382073958</v>
      </c>
      <c r="N27" s="895"/>
      <c r="O27" s="895"/>
      <c r="P27" s="895"/>
      <c r="Q27" s="895"/>
    </row>
    <row r="28" spans="1:17">
      <c r="A28" s="884">
        <f t="shared" si="5"/>
        <v>8</v>
      </c>
      <c r="B28" s="894" t="str">
        <f>"Sum of Lines "&amp;A22&amp;" to "&amp;A27&amp;""</f>
        <v>Sum of Lines 2 to 7</v>
      </c>
      <c r="C28" s="903">
        <f>SUM(C22:C27)</f>
        <v>-42022473.585038975</v>
      </c>
      <c r="E28" s="918">
        <f>+E12</f>
        <v>-203719238.61753508</v>
      </c>
      <c r="F28" s="918"/>
      <c r="G28" s="918">
        <f>SUM(G22:G27)</f>
        <v>-4530112.4447017992</v>
      </c>
      <c r="H28" s="918">
        <f>SUM(H22:H27)</f>
        <v>-21961369.151044793</v>
      </c>
      <c r="I28" s="918">
        <f>SUM(I22:I27)</f>
        <v>17431256.706342999</v>
      </c>
      <c r="N28" s="895"/>
      <c r="O28" s="895"/>
      <c r="P28" s="895"/>
      <c r="Q28" s="895"/>
    </row>
    <row r="29" spans="1:17">
      <c r="C29" s="903"/>
      <c r="N29" s="895"/>
      <c r="O29" s="895"/>
      <c r="P29" s="895"/>
      <c r="Q29" s="895"/>
    </row>
    <row r="30" spans="1:17">
      <c r="N30" s="895"/>
      <c r="O30" s="895"/>
      <c r="P30" s="895"/>
      <c r="Q30" s="895"/>
    </row>
    <row r="31" spans="1:17">
      <c r="J31" s="895"/>
      <c r="K31" s="895"/>
      <c r="L31" s="895"/>
      <c r="M31" s="895"/>
      <c r="N31" s="895"/>
      <c r="O31" s="895"/>
      <c r="P31" s="895"/>
      <c r="Q31" s="895"/>
    </row>
    <row r="32" spans="1:17">
      <c r="J32" s="895"/>
      <c r="K32" s="895"/>
      <c r="L32" s="895"/>
      <c r="M32" s="895"/>
      <c r="N32" s="895"/>
      <c r="O32" s="895"/>
      <c r="P32" s="895"/>
      <c r="Q32" s="895"/>
    </row>
    <row r="33" spans="1:17">
      <c r="B33" s="897" t="s">
        <v>845</v>
      </c>
      <c r="F33" s="898"/>
      <c r="J33" s="895"/>
      <c r="K33" s="895"/>
      <c r="L33" s="895"/>
      <c r="M33" s="895"/>
      <c r="N33" s="895"/>
      <c r="O33" s="895"/>
      <c r="P33" s="895"/>
      <c r="Q33" s="895"/>
    </row>
    <row r="34" spans="1:17">
      <c r="E34" s="898"/>
      <c r="I34" s="899"/>
      <c r="J34" s="895"/>
      <c r="K34" s="895"/>
      <c r="L34" s="895"/>
      <c r="M34" s="895"/>
      <c r="N34" s="895"/>
      <c r="O34" s="895"/>
      <c r="P34" s="895"/>
      <c r="Q34" s="895"/>
    </row>
    <row r="35" spans="1:17">
      <c r="D35" s="900" t="s">
        <v>831</v>
      </c>
      <c r="E35" s="901"/>
      <c r="F35" s="900" t="s">
        <v>832</v>
      </c>
      <c r="G35" s="900" t="s">
        <v>833</v>
      </c>
      <c r="H35" s="900" t="s">
        <v>837</v>
      </c>
      <c r="I35" s="902" t="s">
        <v>835</v>
      </c>
      <c r="J35" s="902" t="s">
        <v>836</v>
      </c>
      <c r="K35" s="902" t="s">
        <v>838</v>
      </c>
      <c r="L35" s="895"/>
      <c r="M35" s="895"/>
      <c r="N35" s="895"/>
      <c r="O35" s="895"/>
      <c r="P35" s="895"/>
      <c r="Q35" s="895"/>
    </row>
    <row r="36" spans="1:17">
      <c r="E36" s="895"/>
      <c r="I36" s="895"/>
      <c r="J36" s="895"/>
      <c r="K36" s="895"/>
      <c r="L36" s="895"/>
      <c r="M36" s="895"/>
      <c r="N36" s="895"/>
      <c r="O36" s="895"/>
      <c r="P36" s="895"/>
      <c r="Q36" s="895"/>
    </row>
    <row r="37" spans="1:17">
      <c r="A37" s="884">
        <f>+A28+1</f>
        <v>9</v>
      </c>
      <c r="B37" s="884" t="s">
        <v>839</v>
      </c>
      <c r="D37" s="1078">
        <v>-11724907</v>
      </c>
      <c r="E37" s="1079"/>
      <c r="F37" s="1078">
        <v>-9493012</v>
      </c>
      <c r="G37" s="1078">
        <v>-2659203</v>
      </c>
      <c r="H37" s="1078">
        <v>-312354</v>
      </c>
      <c r="I37" s="1078">
        <v>-8286927</v>
      </c>
      <c r="J37" s="1078">
        <v>-605514</v>
      </c>
      <c r="K37" s="898">
        <f>SUM(D37:J37)</f>
        <v>-33081917</v>
      </c>
      <c r="L37" s="895" t="s">
        <v>115</v>
      </c>
      <c r="M37" s="895"/>
      <c r="N37" s="895"/>
      <c r="O37" s="895"/>
      <c r="P37" s="895"/>
      <c r="Q37" s="895"/>
    </row>
    <row r="38" spans="1:17">
      <c r="D38" s="903"/>
      <c r="E38" s="895"/>
      <c r="F38" s="903"/>
      <c r="G38" s="903"/>
      <c r="H38" s="903"/>
      <c r="I38" s="903"/>
      <c r="J38" s="903"/>
    </row>
    <row r="39" spans="1:17">
      <c r="A39" s="884">
        <f>+A37+1</f>
        <v>10</v>
      </c>
      <c r="B39" s="1300" t="s">
        <v>840</v>
      </c>
      <c r="C39" s="1300"/>
      <c r="D39" s="1078">
        <v>321470.5500000082</v>
      </c>
      <c r="E39" s="1079"/>
      <c r="F39" s="1078">
        <v>1061571.0399999991</v>
      </c>
      <c r="G39" s="1078">
        <v>-144047.14999999758</v>
      </c>
      <c r="H39" s="1078">
        <v>0</v>
      </c>
      <c r="I39" s="1078">
        <v>-0.23999999836087227</v>
      </c>
      <c r="J39" s="1078">
        <v>144047.03000000009</v>
      </c>
      <c r="K39" s="898"/>
      <c r="L39" s="895"/>
      <c r="M39" s="895"/>
      <c r="N39" s="895"/>
      <c r="O39" s="895"/>
      <c r="P39" s="895"/>
      <c r="Q39" s="895"/>
    </row>
    <row r="40" spans="1:17">
      <c r="B40" s="1300"/>
      <c r="C40" s="1300"/>
      <c r="D40" s="898"/>
      <c r="E40" s="895"/>
      <c r="F40" s="898"/>
      <c r="G40" s="898"/>
      <c r="H40" s="898"/>
      <c r="I40" s="898"/>
      <c r="J40" s="898"/>
      <c r="L40" s="895"/>
      <c r="M40" s="895"/>
      <c r="N40" s="895"/>
      <c r="O40" s="895"/>
      <c r="P40" s="895"/>
      <c r="Q40" s="895"/>
    </row>
    <row r="41" spans="1:17">
      <c r="A41" s="884">
        <f>+A39+1</f>
        <v>11</v>
      </c>
      <c r="B41" s="884" t="s">
        <v>841</v>
      </c>
      <c r="D41" s="1078"/>
      <c r="E41" s="1079"/>
      <c r="F41" s="1078"/>
      <c r="G41" s="1078"/>
      <c r="H41" s="1078"/>
      <c r="I41" s="1078"/>
      <c r="J41" s="1078"/>
      <c r="K41" s="898">
        <f>SUM(D41:J41)</f>
        <v>0</v>
      </c>
      <c r="L41" s="895"/>
      <c r="M41" s="895"/>
      <c r="N41" s="895"/>
      <c r="O41" s="895"/>
      <c r="P41" s="895"/>
      <c r="Q41" s="895"/>
    </row>
    <row r="42" spans="1:17">
      <c r="D42" s="905"/>
      <c r="E42" s="906"/>
      <c r="F42" s="905"/>
      <c r="G42" s="905"/>
      <c r="H42" s="905"/>
      <c r="I42" s="906"/>
      <c r="J42" s="906"/>
      <c r="K42" s="905"/>
      <c r="L42" s="895"/>
      <c r="M42" s="895"/>
      <c r="N42" s="895"/>
      <c r="O42" s="895"/>
      <c r="P42" s="895"/>
      <c r="Q42" s="895"/>
    </row>
    <row r="43" spans="1:17">
      <c r="A43" s="884">
        <f>+A41+1</f>
        <v>12</v>
      </c>
      <c r="B43" s="884" t="str">
        <f>"Net Company Expense (Ln "&amp;A37&amp;" + Ln "&amp;A39&amp;" + Ln  "&amp;A41&amp;")"</f>
        <v>Net Company Expense (Ln 9 + Ln 10 + Ln  11)</v>
      </c>
      <c r="D43" s="898">
        <f t="shared" ref="D43:J43" si="6">+D37+D41+D39</f>
        <v>-11403436.449999992</v>
      </c>
      <c r="E43" s="899"/>
      <c r="F43" s="898">
        <f t="shared" si="6"/>
        <v>-8431440.9600000009</v>
      </c>
      <c r="G43" s="898">
        <f t="shared" si="6"/>
        <v>-2803250.1499999976</v>
      </c>
      <c r="H43" s="898">
        <f t="shared" si="6"/>
        <v>-312354</v>
      </c>
      <c r="I43" s="898">
        <f t="shared" si="6"/>
        <v>-8286927.2399999984</v>
      </c>
      <c r="J43" s="898">
        <f t="shared" si="6"/>
        <v>-461466.96999999991</v>
      </c>
      <c r="K43" s="898">
        <f>SUM(D43:J43)</f>
        <v>-31698875.769999988</v>
      </c>
      <c r="L43" s="895"/>
      <c r="M43" s="895"/>
      <c r="N43" s="895"/>
      <c r="O43" s="895"/>
      <c r="P43" s="895"/>
      <c r="Q43" s="895"/>
    </row>
    <row r="44" spans="1:17">
      <c r="E44" s="895"/>
      <c r="G44" s="898">
        <f>+G40+G42</f>
        <v>0</v>
      </c>
      <c r="I44" s="895"/>
      <c r="J44" s="895"/>
      <c r="L44" s="907"/>
      <c r="M44" s="895"/>
      <c r="N44" s="895"/>
      <c r="O44" s="895"/>
      <c r="P44" s="895"/>
      <c r="Q44" s="895"/>
    </row>
    <row r="45" spans="1:17">
      <c r="A45" s="884">
        <f>+A43+1</f>
        <v>13</v>
      </c>
      <c r="B45" s="1300" t="s">
        <v>842</v>
      </c>
      <c r="C45" s="1300"/>
      <c r="D45" s="1078">
        <v>-3898083.2088364419</v>
      </c>
      <c r="E45" s="1079"/>
      <c r="F45" s="1078">
        <v>-2110917.1541485414</v>
      </c>
      <c r="G45" s="1078">
        <v>-671289.21441354265</v>
      </c>
      <c r="H45" s="1078">
        <v>-81136.402555422246</v>
      </c>
      <c r="I45" s="1078">
        <v>-3151035.0853797835</v>
      </c>
      <c r="J45" s="1078">
        <v>-411136.7497052509</v>
      </c>
      <c r="K45" s="898">
        <f>SUM(D45:J45)</f>
        <v>-10323597.815038983</v>
      </c>
      <c r="L45" s="908" t="s">
        <v>115</v>
      </c>
      <c r="M45" s="895"/>
      <c r="N45" s="895"/>
      <c r="O45" s="895"/>
      <c r="P45" s="895"/>
      <c r="Q45" s="895"/>
    </row>
    <row r="46" spans="1:17">
      <c r="B46" s="1300"/>
      <c r="C46" s="1300"/>
      <c r="E46" s="895"/>
      <c r="I46" s="895"/>
      <c r="J46" s="895"/>
      <c r="L46" s="895"/>
      <c r="M46" s="895"/>
      <c r="N46" s="895"/>
      <c r="O46" s="895"/>
      <c r="P46" s="895"/>
      <c r="Q46" s="895"/>
    </row>
    <row r="47" spans="1:17" ht="13.5" thickBot="1">
      <c r="A47" s="884">
        <f>+A45+1</f>
        <v>14</v>
      </c>
      <c r="B47" s="884" t="str">
        <f>"Company PBOP Expense (Ln "&amp;A43&amp;" + Ln  "&amp;A45&amp;")"</f>
        <v>Company PBOP Expense (Ln 12 + Ln  13)</v>
      </c>
      <c r="D47" s="909">
        <f>+D45+D41+D39+D37</f>
        <v>-15301519.658836434</v>
      </c>
      <c r="E47" s="910"/>
      <c r="F47" s="909">
        <f>+F45+F41+F39+F37</f>
        <v>-10542358.114148542</v>
      </c>
      <c r="G47" s="909">
        <f>+G45+G41+G39+G37</f>
        <v>-3474539.3644135403</v>
      </c>
      <c r="H47" s="909">
        <f>+H45+H41+H39+H37</f>
        <v>-393490.40255542228</v>
      </c>
      <c r="I47" s="909">
        <f>+I45+I41+I39+I37</f>
        <v>-11437962.325379781</v>
      </c>
      <c r="J47" s="909">
        <f>+J45+J41+J39+J37</f>
        <v>-872603.71970525081</v>
      </c>
      <c r="K47" s="911">
        <f>SUM(D47:J47)</f>
        <v>-42022473.585038975</v>
      </c>
      <c r="L47" s="895"/>
      <c r="M47" s="895"/>
      <c r="N47" s="895"/>
      <c r="O47" s="895"/>
      <c r="P47" s="895"/>
      <c r="Q47" s="895"/>
    </row>
    <row r="48" spans="1:17" ht="13.5" thickTop="1">
      <c r="I48" s="895"/>
      <c r="J48" s="895"/>
      <c r="K48" s="895"/>
      <c r="L48" s="895"/>
      <c r="M48" s="895"/>
      <c r="N48" s="895"/>
      <c r="O48" s="895"/>
      <c r="P48" s="895"/>
      <c r="Q48" s="895"/>
    </row>
    <row r="49" spans="1:19">
      <c r="A49" s="1301" t="s">
        <v>843</v>
      </c>
      <c r="B49" s="1301"/>
      <c r="C49" s="1301"/>
      <c r="D49" s="1301"/>
      <c r="E49" s="1301"/>
      <c r="F49" s="1301"/>
      <c r="G49" s="1301"/>
      <c r="H49" s="1301"/>
      <c r="I49" s="1301"/>
      <c r="J49" s="1301"/>
      <c r="K49" s="1301"/>
      <c r="L49" s="912"/>
      <c r="M49" s="895"/>
      <c r="N49" s="895"/>
      <c r="O49" s="895"/>
      <c r="P49" s="895"/>
      <c r="Q49" s="895"/>
    </row>
    <row r="50" spans="1:19">
      <c r="A50" s="1301"/>
      <c r="B50" s="1301"/>
      <c r="C50" s="1301"/>
      <c r="D50" s="1301"/>
      <c r="E50" s="1301"/>
      <c r="F50" s="1301"/>
      <c r="G50" s="1301"/>
      <c r="H50" s="1301"/>
      <c r="I50" s="1301"/>
      <c r="J50" s="1301"/>
      <c r="K50" s="1301"/>
      <c r="L50" s="895"/>
      <c r="M50" s="895"/>
      <c r="N50" s="895"/>
      <c r="O50" s="895"/>
      <c r="P50" s="895"/>
      <c r="Q50" s="895"/>
    </row>
    <row r="51" spans="1:19">
      <c r="A51" s="1301"/>
      <c r="B51" s="1301"/>
      <c r="C51" s="1301"/>
      <c r="D51" s="1301"/>
      <c r="E51" s="1301"/>
      <c r="F51" s="1301"/>
      <c r="G51" s="1301"/>
      <c r="H51" s="1301"/>
      <c r="I51" s="1301"/>
      <c r="J51" s="1301"/>
      <c r="K51" s="1301"/>
      <c r="L51" s="895"/>
      <c r="M51" s="895"/>
      <c r="N51" s="895"/>
      <c r="O51" s="895"/>
      <c r="P51" s="895"/>
      <c r="Q51" s="895"/>
    </row>
    <row r="52" spans="1:19">
      <c r="A52" s="1301"/>
      <c r="B52" s="1301"/>
      <c r="C52" s="1301"/>
      <c r="D52" s="1301"/>
      <c r="E52" s="1301"/>
      <c r="F52" s="1301"/>
      <c r="G52" s="1301"/>
      <c r="H52" s="1301"/>
      <c r="I52" s="1301"/>
      <c r="J52" s="1301"/>
      <c r="K52" s="1301"/>
      <c r="Q52" s="895"/>
    </row>
    <row r="53" spans="1:19">
      <c r="A53" s="1301"/>
      <c r="B53" s="1301"/>
      <c r="C53" s="1301"/>
      <c r="D53" s="1301"/>
      <c r="E53" s="1301"/>
      <c r="F53" s="1301"/>
      <c r="G53" s="1301"/>
      <c r="H53" s="1301"/>
      <c r="I53" s="1301"/>
      <c r="J53" s="1301"/>
      <c r="K53" s="1301"/>
      <c r="Q53" s="895"/>
    </row>
    <row r="54" spans="1:19">
      <c r="A54" s="1301"/>
      <c r="B54" s="1301"/>
      <c r="C54" s="1301"/>
      <c r="D54" s="1301"/>
      <c r="E54" s="1301"/>
      <c r="F54" s="1301"/>
      <c r="G54" s="1301"/>
      <c r="H54" s="1301"/>
      <c r="I54" s="1301"/>
      <c r="J54" s="1301"/>
      <c r="K54" s="1301"/>
      <c r="Q54" s="895"/>
    </row>
    <row r="55" spans="1:19">
      <c r="A55" s="1301"/>
      <c r="B55" s="1301"/>
      <c r="C55" s="1301"/>
      <c r="D55" s="1301"/>
      <c r="E55" s="1301"/>
      <c r="F55" s="1301"/>
      <c r="G55" s="1301"/>
      <c r="H55" s="1301"/>
      <c r="I55" s="1301"/>
      <c r="J55" s="1301"/>
      <c r="K55" s="1301"/>
      <c r="Q55" s="895"/>
    </row>
    <row r="56" spans="1:19">
      <c r="A56" s="1301"/>
      <c r="B56" s="1301"/>
      <c r="C56" s="1301"/>
      <c r="D56" s="1301"/>
      <c r="E56" s="1301"/>
      <c r="F56" s="1301"/>
      <c r="G56" s="1301"/>
      <c r="H56" s="1301"/>
      <c r="I56" s="1301"/>
      <c r="J56" s="1301"/>
      <c r="K56" s="1301"/>
      <c r="Q56" s="895"/>
    </row>
    <row r="57" spans="1:19">
      <c r="A57" s="1301"/>
      <c r="B57" s="1301"/>
      <c r="C57" s="1301"/>
      <c r="D57" s="1301"/>
      <c r="E57" s="1301"/>
      <c r="F57" s="1301"/>
      <c r="G57" s="1301"/>
      <c r="H57" s="1301"/>
      <c r="I57" s="1301"/>
      <c r="J57" s="1301"/>
      <c r="K57" s="1301"/>
      <c r="Q57" s="895"/>
    </row>
    <row r="58" spans="1:19">
      <c r="Q58" s="913"/>
    </row>
    <row r="59" spans="1:19" ht="18.75" customHeight="1"/>
    <row r="60" spans="1:19" ht="12.75" customHeight="1">
      <c r="Q60" s="914"/>
      <c r="R60" s="914"/>
      <c r="S60" s="914"/>
    </row>
    <row r="61" spans="1:19" ht="68.25" customHeight="1"/>
    <row r="72" ht="39.75" customHeight="1"/>
    <row r="81" spans="17:22" ht="15.75" customHeight="1">
      <c r="Q81" s="915"/>
      <c r="R81" s="915"/>
      <c r="S81" s="915"/>
      <c r="T81" s="915"/>
      <c r="U81" s="915"/>
      <c r="V81" s="903"/>
    </row>
    <row r="82" spans="17:22" ht="6" customHeight="1">
      <c r="Q82" s="915"/>
      <c r="R82" s="915"/>
      <c r="S82" s="915"/>
      <c r="T82" s="915"/>
      <c r="U82" s="915"/>
      <c r="V82" s="903"/>
    </row>
    <row r="83" spans="17:22">
      <c r="Q83" s="915"/>
      <c r="R83" s="915"/>
      <c r="S83" s="915"/>
      <c r="T83" s="915"/>
      <c r="U83" s="915"/>
      <c r="V83" s="903"/>
    </row>
    <row r="84" spans="17:22" ht="6" customHeight="1">
      <c r="Q84" s="915"/>
      <c r="R84" s="915"/>
      <c r="S84" s="915"/>
      <c r="T84" s="915"/>
      <c r="U84" s="915"/>
      <c r="V84" s="903"/>
    </row>
    <row r="85" spans="17:22">
      <c r="Q85" s="915"/>
      <c r="R85" s="915"/>
      <c r="S85" s="915"/>
      <c r="T85" s="915"/>
      <c r="U85" s="915"/>
      <c r="V85" s="903"/>
    </row>
    <row r="86" spans="17:22" ht="12.75" customHeight="1">
      <c r="Q86" s="915"/>
      <c r="R86" s="915"/>
      <c r="S86" s="915"/>
      <c r="T86" s="915"/>
      <c r="U86" s="915"/>
      <c r="V86" s="903"/>
    </row>
    <row r="87" spans="17:22" ht="6.75" customHeight="1">
      <c r="Q87" s="915"/>
      <c r="R87" s="915"/>
      <c r="S87" s="915"/>
      <c r="T87" s="915"/>
      <c r="U87" s="915"/>
      <c r="V87" s="903"/>
    </row>
    <row r="88" spans="17:22">
      <c r="Q88" s="915"/>
      <c r="R88" s="915"/>
      <c r="S88" s="915"/>
      <c r="T88" s="915"/>
      <c r="U88" s="915"/>
      <c r="V88" s="903"/>
    </row>
    <row r="89" spans="17:22">
      <c r="Q89" s="915"/>
      <c r="R89" s="915"/>
      <c r="S89" s="915"/>
      <c r="T89" s="915"/>
      <c r="U89" s="903"/>
    </row>
    <row r="90" spans="17:22">
      <c r="Q90" s="915"/>
      <c r="R90" s="915"/>
      <c r="S90" s="915"/>
      <c r="T90" s="915"/>
      <c r="U90" s="903"/>
    </row>
    <row r="91" spans="17:22">
      <c r="Q91" s="915"/>
      <c r="R91" s="915"/>
      <c r="S91" s="915"/>
      <c r="T91" s="915"/>
      <c r="U91" s="903"/>
    </row>
    <row r="92" spans="17:22">
      <c r="Q92" s="913"/>
      <c r="R92" s="913"/>
    </row>
    <row r="93" spans="17:22">
      <c r="Q93" s="913"/>
    </row>
    <row r="95" spans="17:22" ht="12.75" customHeight="1"/>
    <row r="96" spans="17:22" ht="12.75" customHeight="1"/>
    <row r="97" ht="12.75" customHeight="1"/>
    <row r="98" ht="12.75" customHeight="1"/>
    <row r="104" ht="14.25" customHeight="1"/>
    <row r="105" ht="14.25" customHeight="1"/>
    <row r="112" ht="12.75" customHeight="1"/>
    <row r="113" ht="12.75" customHeight="1"/>
    <row r="114" ht="12.75" customHeight="1"/>
    <row r="115" ht="12.75" customHeight="1"/>
    <row r="116" ht="15.75" customHeight="1"/>
    <row r="129" ht="12.75" customHeight="1"/>
    <row r="130" ht="12.75" customHeight="1"/>
    <row r="132" ht="12.75" customHeight="1"/>
    <row r="146" ht="12.75" customHeight="1"/>
    <row r="147" ht="12.75" customHeight="1"/>
    <row r="149" ht="12.75" customHeight="1"/>
    <row r="164" ht="12.75" customHeight="1"/>
    <row r="165" ht="12.75" customHeight="1"/>
    <row r="166" ht="12.75" customHeight="1"/>
    <row r="182" spans="13:13">
      <c r="M182" s="903"/>
    </row>
    <row r="183" spans="13:13">
      <c r="M183" s="916"/>
    </row>
    <row r="184" spans="13:13">
      <c r="M184" s="904"/>
    </row>
    <row r="185" spans="13:13" ht="12.75" customHeight="1">
      <c r="M185" s="904"/>
    </row>
    <row r="186" spans="13:13">
      <c r="M186" s="904"/>
    </row>
    <row r="187" spans="13:13">
      <c r="M187" s="904"/>
    </row>
    <row r="188" spans="13:13">
      <c r="M188" s="917"/>
    </row>
    <row r="189" spans="13:13">
      <c r="M189" s="917"/>
    </row>
    <row r="190" spans="13:13">
      <c r="M190" s="903"/>
    </row>
    <row r="191" spans="13:13">
      <c r="M191" s="903"/>
    </row>
    <row r="192" spans="13:13">
      <c r="M192" s="903"/>
    </row>
    <row r="193" spans="13:13">
      <c r="M193" s="903"/>
    </row>
    <row r="194" spans="13:13">
      <c r="M194" s="903"/>
    </row>
    <row r="195" spans="13:13">
      <c r="M195" s="903"/>
    </row>
    <row r="196" spans="13:13">
      <c r="M196" s="903"/>
    </row>
    <row r="197" spans="13:13">
      <c r="M197" s="918"/>
    </row>
    <row r="199" spans="13:13">
      <c r="M199" s="903"/>
    </row>
    <row r="204" spans="13:13">
      <c r="M204" s="903"/>
    </row>
    <row r="205" spans="13:13">
      <c r="M205" s="916"/>
    </row>
    <row r="206" spans="13:13">
      <c r="M206" s="904"/>
    </row>
    <row r="207" spans="13:13" ht="12.75" customHeight="1">
      <c r="M207" s="904"/>
    </row>
    <row r="208" spans="13:13">
      <c r="M208" s="904"/>
    </row>
    <row r="209" spans="13:13">
      <c r="M209" s="904"/>
    </row>
    <row r="210" spans="13:13">
      <c r="M210" s="917"/>
    </row>
    <row r="211" spans="13:13">
      <c r="M211" s="917"/>
    </row>
    <row r="212" spans="13:13">
      <c r="M212" s="903"/>
    </row>
    <row r="213" spans="13:13">
      <c r="M213" s="903"/>
    </row>
    <row r="214" spans="13:13">
      <c r="M214" s="903"/>
    </row>
    <row r="215" spans="13:13">
      <c r="M215" s="903"/>
    </row>
    <row r="216" spans="13:13">
      <c r="M216" s="903"/>
    </row>
    <row r="217" spans="13:13">
      <c r="M217" s="903"/>
    </row>
    <row r="218" spans="13:13">
      <c r="M218" s="903"/>
    </row>
    <row r="219" spans="13:13">
      <c r="M219" s="918"/>
    </row>
    <row r="221" spans="13:13">
      <c r="M221" s="903"/>
    </row>
    <row r="226" spans="13:13">
      <c r="M226" s="903"/>
    </row>
    <row r="227" spans="13:13">
      <c r="M227" s="916"/>
    </row>
    <row r="228" spans="13:13">
      <c r="M228" s="904"/>
    </row>
    <row r="229" spans="13:13" ht="12.75" customHeight="1">
      <c r="M229" s="904"/>
    </row>
    <row r="230" spans="13:13">
      <c r="M230" s="904"/>
    </row>
    <row r="231" spans="13:13">
      <c r="M231" s="904"/>
    </row>
    <row r="232" spans="13:13">
      <c r="M232" s="917"/>
    </row>
    <row r="233" spans="13:13">
      <c r="M233" s="917"/>
    </row>
    <row r="234" spans="13:13">
      <c r="M234" s="903"/>
    </row>
    <row r="235" spans="13:13">
      <c r="M235" s="903"/>
    </row>
    <row r="236" spans="13:13">
      <c r="M236" s="903"/>
    </row>
    <row r="237" spans="13:13">
      <c r="M237" s="903"/>
    </row>
    <row r="238" spans="13:13">
      <c r="M238" s="903"/>
    </row>
    <row r="239" spans="13:13">
      <c r="M239" s="903"/>
    </row>
    <row r="240" spans="13:13">
      <c r="M240" s="903"/>
    </row>
    <row r="241" spans="13:13">
      <c r="M241" s="918"/>
    </row>
    <row r="243" spans="13:13">
      <c r="M243" s="903"/>
    </row>
    <row r="248" spans="13:13">
      <c r="M248" s="903"/>
    </row>
    <row r="249" spans="13:13">
      <c r="M249" s="916"/>
    </row>
    <row r="250" spans="13:13">
      <c r="M250" s="904"/>
    </row>
    <row r="251" spans="13:13" ht="12.75" customHeight="1">
      <c r="M251" s="904"/>
    </row>
    <row r="252" spans="13:13">
      <c r="M252" s="904"/>
    </row>
    <row r="253" spans="13:13">
      <c r="M253" s="904"/>
    </row>
    <row r="254" spans="13:13">
      <c r="M254" s="917"/>
    </row>
    <row r="255" spans="13:13">
      <c r="M255" s="917"/>
    </row>
    <row r="256" spans="13:13">
      <c r="M256" s="903"/>
    </row>
    <row r="257" spans="13:13">
      <c r="M257" s="903"/>
    </row>
    <row r="258" spans="13:13">
      <c r="M258" s="903"/>
    </row>
    <row r="259" spans="13:13">
      <c r="M259" s="903"/>
    </row>
    <row r="260" spans="13:13">
      <c r="M260" s="903"/>
    </row>
    <row r="261" spans="13:13">
      <c r="M261" s="903"/>
    </row>
    <row r="262" spans="13:13">
      <c r="M262" s="903"/>
    </row>
    <row r="263" spans="13:13">
      <c r="M263" s="918"/>
    </row>
    <row r="265" spans="13:13">
      <c r="M265" s="903"/>
    </row>
    <row r="270" spans="13:13">
      <c r="M270" s="903"/>
    </row>
    <row r="271" spans="13:13">
      <c r="M271" s="916"/>
    </row>
    <row r="272" spans="13:13" ht="12.75" customHeight="1">
      <c r="M272" s="904"/>
    </row>
    <row r="273" spans="13:13" ht="12.75" customHeight="1">
      <c r="M273" s="904"/>
    </row>
    <row r="274" spans="13:13">
      <c r="M274" s="904"/>
    </row>
    <row r="275" spans="13:13" ht="12.75" customHeight="1">
      <c r="M275" s="904"/>
    </row>
    <row r="276" spans="13:13">
      <c r="M276" s="917"/>
    </row>
    <row r="277" spans="13:13">
      <c r="M277" s="917"/>
    </row>
    <row r="278" spans="13:13">
      <c r="M278" s="903"/>
    </row>
    <row r="279" spans="13:13">
      <c r="M279" s="903"/>
    </row>
    <row r="280" spans="13:13">
      <c r="M280" s="903"/>
    </row>
    <row r="281" spans="13:13">
      <c r="M281" s="903"/>
    </row>
    <row r="282" spans="13:13">
      <c r="M282" s="903"/>
    </row>
    <row r="283" spans="13:13">
      <c r="M283" s="903"/>
    </row>
    <row r="284" spans="13:13">
      <c r="M284" s="903"/>
    </row>
    <row r="285" spans="13:13">
      <c r="M285" s="918"/>
    </row>
    <row r="287" spans="13:13">
      <c r="M287" s="903"/>
    </row>
  </sheetData>
  <mergeCells count="16">
    <mergeCell ref="B14:C14"/>
    <mergeCell ref="A3:K3"/>
    <mergeCell ref="A4:K4"/>
    <mergeCell ref="A5:K5"/>
    <mergeCell ref="A6:K6"/>
    <mergeCell ref="B9:M9"/>
    <mergeCell ref="B39:C40"/>
    <mergeCell ref="B45:C46"/>
    <mergeCell ref="A49:K57"/>
    <mergeCell ref="C15:E15"/>
    <mergeCell ref="C16:C18"/>
    <mergeCell ref="D16:D18"/>
    <mergeCell ref="E16:E18"/>
    <mergeCell ref="I16:I18"/>
    <mergeCell ref="F17:F18"/>
    <mergeCell ref="H17:H18"/>
  </mergeCells>
  <pageMargins left="0.32" right="0.25" top="1" bottom="0.43" header="0.75" footer="0.17"/>
  <pageSetup scale="63" orientation="landscape" r:id="rId1"/>
  <headerFooter alignWithMargins="0">
    <oddHeader>&amp;R&amp;"Arial,Bold"Formula Rate 
&amp;A
Page &amp;P of &amp;N</oddHeader>
  </headerFooter>
  <rowBreaks count="4" manualBreakCount="4">
    <brk id="90" max="18" man="1"/>
    <brk id="126" max="18" man="1"/>
    <brk id="160" max="18" man="1"/>
    <brk id="242" min="1" max="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codeName="Sheet20">
    <pageSetUpPr fitToPage="1"/>
  </sheetPr>
  <dimension ref="A1:S56"/>
  <sheetViews>
    <sheetView tabSelected="1" defaultGridColor="0" view="pageBreakPreview" colorId="22" zoomScale="60" zoomScaleNormal="70" workbookViewId="0">
      <selection activeCell="D9" sqref="D9"/>
    </sheetView>
  </sheetViews>
  <sheetFormatPr defaultColWidth="14.7109375" defaultRowHeight="12.75"/>
  <cols>
    <col min="1" max="1" width="33.140625" customWidth="1"/>
    <col min="2" max="2" width="11" customWidth="1"/>
    <col min="3" max="3" width="16.85546875" customWidth="1"/>
    <col min="4" max="4" width="16.7109375" customWidth="1"/>
    <col min="5" max="5" width="14.7109375" customWidth="1"/>
    <col min="6" max="6" width="4.85546875" customWidth="1"/>
    <col min="7" max="7" width="14.7109375" customWidth="1"/>
    <col min="8" max="8" width="18.28515625" customWidth="1"/>
    <col min="9" max="9" width="15.5703125" customWidth="1"/>
    <col min="10" max="10" width="6.140625" customWidth="1"/>
    <col min="11" max="11" width="14.7109375" customWidth="1"/>
    <col min="12" max="12" width="16.140625" customWidth="1"/>
    <col min="13" max="13" width="14.7109375" customWidth="1"/>
    <col min="14" max="14" width="4.85546875" customWidth="1"/>
    <col min="15" max="15" width="18.5703125" customWidth="1"/>
    <col min="257" max="257" width="33.140625" customWidth="1"/>
    <col min="258" max="258" width="11" customWidth="1"/>
    <col min="259" max="259" width="16.85546875" customWidth="1"/>
    <col min="260" max="260" width="16.7109375" customWidth="1"/>
    <col min="261" max="261" width="14.7109375" customWidth="1"/>
    <col min="262" max="262" width="4.85546875" customWidth="1"/>
    <col min="263" max="263" width="14.7109375" customWidth="1"/>
    <col min="264" max="264" width="18.28515625" customWidth="1"/>
    <col min="265" max="265" width="15.5703125" customWidth="1"/>
    <col min="266" max="266" width="6.140625" customWidth="1"/>
    <col min="267" max="267" width="14.7109375" customWidth="1"/>
    <col min="268" max="268" width="16.140625" customWidth="1"/>
    <col min="269" max="269" width="14.7109375" customWidth="1"/>
    <col min="270" max="270" width="4.85546875" customWidth="1"/>
    <col min="271" max="271" width="18.5703125" customWidth="1"/>
    <col min="513" max="513" width="33.140625" customWidth="1"/>
    <col min="514" max="514" width="11" customWidth="1"/>
    <col min="515" max="515" width="16.85546875" customWidth="1"/>
    <col min="516" max="516" width="16.7109375" customWidth="1"/>
    <col min="517" max="517" width="14.7109375" customWidth="1"/>
    <col min="518" max="518" width="4.85546875" customWidth="1"/>
    <col min="519" max="519" width="14.7109375" customWidth="1"/>
    <col min="520" max="520" width="18.28515625" customWidth="1"/>
    <col min="521" max="521" width="15.5703125" customWidth="1"/>
    <col min="522" max="522" width="6.140625" customWidth="1"/>
    <col min="523" max="523" width="14.7109375" customWidth="1"/>
    <col min="524" max="524" width="16.140625" customWidth="1"/>
    <col min="525" max="525" width="14.7109375" customWidth="1"/>
    <col min="526" max="526" width="4.85546875" customWidth="1"/>
    <col min="527" max="527" width="18.5703125" customWidth="1"/>
    <col min="769" max="769" width="33.140625" customWidth="1"/>
    <col min="770" max="770" width="11" customWidth="1"/>
    <col min="771" max="771" width="16.85546875" customWidth="1"/>
    <col min="772" max="772" width="16.7109375" customWidth="1"/>
    <col min="773" max="773" width="14.7109375" customWidth="1"/>
    <col min="774" max="774" width="4.85546875" customWidth="1"/>
    <col min="775" max="775" width="14.7109375" customWidth="1"/>
    <col min="776" max="776" width="18.28515625" customWidth="1"/>
    <col min="777" max="777" width="15.5703125" customWidth="1"/>
    <col min="778" max="778" width="6.140625" customWidth="1"/>
    <col min="779" max="779" width="14.7109375" customWidth="1"/>
    <col min="780" max="780" width="16.140625" customWidth="1"/>
    <col min="781" max="781" width="14.7109375" customWidth="1"/>
    <col min="782" max="782" width="4.85546875" customWidth="1"/>
    <col min="783" max="783" width="18.5703125" customWidth="1"/>
    <col min="1025" max="1025" width="33.140625" customWidth="1"/>
    <col min="1026" max="1026" width="11" customWidth="1"/>
    <col min="1027" max="1027" width="16.85546875" customWidth="1"/>
    <col min="1028" max="1028" width="16.7109375" customWidth="1"/>
    <col min="1029" max="1029" width="14.7109375" customWidth="1"/>
    <col min="1030" max="1030" width="4.85546875" customWidth="1"/>
    <col min="1031" max="1031" width="14.7109375" customWidth="1"/>
    <col min="1032" max="1032" width="18.28515625" customWidth="1"/>
    <col min="1033" max="1033" width="15.5703125" customWidth="1"/>
    <col min="1034" max="1034" width="6.140625" customWidth="1"/>
    <col min="1035" max="1035" width="14.7109375" customWidth="1"/>
    <col min="1036" max="1036" width="16.140625" customWidth="1"/>
    <col min="1037" max="1037" width="14.7109375" customWidth="1"/>
    <col min="1038" max="1038" width="4.85546875" customWidth="1"/>
    <col min="1039" max="1039" width="18.5703125" customWidth="1"/>
    <col min="1281" max="1281" width="33.140625" customWidth="1"/>
    <col min="1282" max="1282" width="11" customWidth="1"/>
    <col min="1283" max="1283" width="16.85546875" customWidth="1"/>
    <col min="1284" max="1284" width="16.7109375" customWidth="1"/>
    <col min="1285" max="1285" width="14.7109375" customWidth="1"/>
    <col min="1286" max="1286" width="4.85546875" customWidth="1"/>
    <col min="1287" max="1287" width="14.7109375" customWidth="1"/>
    <col min="1288" max="1288" width="18.28515625" customWidth="1"/>
    <col min="1289" max="1289" width="15.5703125" customWidth="1"/>
    <col min="1290" max="1290" width="6.140625" customWidth="1"/>
    <col min="1291" max="1291" width="14.7109375" customWidth="1"/>
    <col min="1292" max="1292" width="16.140625" customWidth="1"/>
    <col min="1293" max="1293" width="14.7109375" customWidth="1"/>
    <col min="1294" max="1294" width="4.85546875" customWidth="1"/>
    <col min="1295" max="1295" width="18.5703125" customWidth="1"/>
    <col min="1537" max="1537" width="33.140625" customWidth="1"/>
    <col min="1538" max="1538" width="11" customWidth="1"/>
    <col min="1539" max="1539" width="16.85546875" customWidth="1"/>
    <col min="1540" max="1540" width="16.7109375" customWidth="1"/>
    <col min="1541" max="1541" width="14.7109375" customWidth="1"/>
    <col min="1542" max="1542" width="4.85546875" customWidth="1"/>
    <col min="1543" max="1543" width="14.7109375" customWidth="1"/>
    <col min="1544" max="1544" width="18.28515625" customWidth="1"/>
    <col min="1545" max="1545" width="15.5703125" customWidth="1"/>
    <col min="1546" max="1546" width="6.140625" customWidth="1"/>
    <col min="1547" max="1547" width="14.7109375" customWidth="1"/>
    <col min="1548" max="1548" width="16.140625" customWidth="1"/>
    <col min="1549" max="1549" width="14.7109375" customWidth="1"/>
    <col min="1550" max="1550" width="4.85546875" customWidth="1"/>
    <col min="1551" max="1551" width="18.5703125" customWidth="1"/>
    <col min="1793" max="1793" width="33.140625" customWidth="1"/>
    <col min="1794" max="1794" width="11" customWidth="1"/>
    <col min="1795" max="1795" width="16.85546875" customWidth="1"/>
    <col min="1796" max="1796" width="16.7109375" customWidth="1"/>
    <col min="1797" max="1797" width="14.7109375" customWidth="1"/>
    <col min="1798" max="1798" width="4.85546875" customWidth="1"/>
    <col min="1799" max="1799" width="14.7109375" customWidth="1"/>
    <col min="1800" max="1800" width="18.28515625" customWidth="1"/>
    <col min="1801" max="1801" width="15.5703125" customWidth="1"/>
    <col min="1802" max="1802" width="6.140625" customWidth="1"/>
    <col min="1803" max="1803" width="14.7109375" customWidth="1"/>
    <col min="1804" max="1804" width="16.140625" customWidth="1"/>
    <col min="1805" max="1805" width="14.7109375" customWidth="1"/>
    <col min="1806" max="1806" width="4.85546875" customWidth="1"/>
    <col min="1807" max="1807" width="18.5703125" customWidth="1"/>
    <col min="2049" max="2049" width="33.140625" customWidth="1"/>
    <col min="2050" max="2050" width="11" customWidth="1"/>
    <col min="2051" max="2051" width="16.85546875" customWidth="1"/>
    <col min="2052" max="2052" width="16.7109375" customWidth="1"/>
    <col min="2053" max="2053" width="14.7109375" customWidth="1"/>
    <col min="2054" max="2054" width="4.85546875" customWidth="1"/>
    <col min="2055" max="2055" width="14.7109375" customWidth="1"/>
    <col min="2056" max="2056" width="18.28515625" customWidth="1"/>
    <col min="2057" max="2057" width="15.5703125" customWidth="1"/>
    <col min="2058" max="2058" width="6.140625" customWidth="1"/>
    <col min="2059" max="2059" width="14.7109375" customWidth="1"/>
    <col min="2060" max="2060" width="16.140625" customWidth="1"/>
    <col min="2061" max="2061" width="14.7109375" customWidth="1"/>
    <col min="2062" max="2062" width="4.85546875" customWidth="1"/>
    <col min="2063" max="2063" width="18.5703125" customWidth="1"/>
    <col min="2305" max="2305" width="33.140625" customWidth="1"/>
    <col min="2306" max="2306" width="11" customWidth="1"/>
    <col min="2307" max="2307" width="16.85546875" customWidth="1"/>
    <col min="2308" max="2308" width="16.7109375" customWidth="1"/>
    <col min="2309" max="2309" width="14.7109375" customWidth="1"/>
    <col min="2310" max="2310" width="4.85546875" customWidth="1"/>
    <col min="2311" max="2311" width="14.7109375" customWidth="1"/>
    <col min="2312" max="2312" width="18.28515625" customWidth="1"/>
    <col min="2313" max="2313" width="15.5703125" customWidth="1"/>
    <col min="2314" max="2314" width="6.140625" customWidth="1"/>
    <col min="2315" max="2315" width="14.7109375" customWidth="1"/>
    <col min="2316" max="2316" width="16.140625" customWidth="1"/>
    <col min="2317" max="2317" width="14.7109375" customWidth="1"/>
    <col min="2318" max="2318" width="4.85546875" customWidth="1"/>
    <col min="2319" max="2319" width="18.5703125" customWidth="1"/>
    <col min="2561" max="2561" width="33.140625" customWidth="1"/>
    <col min="2562" max="2562" width="11" customWidth="1"/>
    <col min="2563" max="2563" width="16.85546875" customWidth="1"/>
    <col min="2564" max="2564" width="16.7109375" customWidth="1"/>
    <col min="2565" max="2565" width="14.7109375" customWidth="1"/>
    <col min="2566" max="2566" width="4.85546875" customWidth="1"/>
    <col min="2567" max="2567" width="14.7109375" customWidth="1"/>
    <col min="2568" max="2568" width="18.28515625" customWidth="1"/>
    <col min="2569" max="2569" width="15.5703125" customWidth="1"/>
    <col min="2570" max="2570" width="6.140625" customWidth="1"/>
    <col min="2571" max="2571" width="14.7109375" customWidth="1"/>
    <col min="2572" max="2572" width="16.140625" customWidth="1"/>
    <col min="2573" max="2573" width="14.7109375" customWidth="1"/>
    <col min="2574" max="2574" width="4.85546875" customWidth="1"/>
    <col min="2575" max="2575" width="18.5703125" customWidth="1"/>
    <col min="2817" max="2817" width="33.140625" customWidth="1"/>
    <col min="2818" max="2818" width="11" customWidth="1"/>
    <col min="2819" max="2819" width="16.85546875" customWidth="1"/>
    <col min="2820" max="2820" width="16.7109375" customWidth="1"/>
    <col min="2821" max="2821" width="14.7109375" customWidth="1"/>
    <col min="2822" max="2822" width="4.85546875" customWidth="1"/>
    <col min="2823" max="2823" width="14.7109375" customWidth="1"/>
    <col min="2824" max="2824" width="18.28515625" customWidth="1"/>
    <col min="2825" max="2825" width="15.5703125" customWidth="1"/>
    <col min="2826" max="2826" width="6.140625" customWidth="1"/>
    <col min="2827" max="2827" width="14.7109375" customWidth="1"/>
    <col min="2828" max="2828" width="16.140625" customWidth="1"/>
    <col min="2829" max="2829" width="14.7109375" customWidth="1"/>
    <col min="2830" max="2830" width="4.85546875" customWidth="1"/>
    <col min="2831" max="2831" width="18.5703125" customWidth="1"/>
    <col min="3073" max="3073" width="33.140625" customWidth="1"/>
    <col min="3074" max="3074" width="11" customWidth="1"/>
    <col min="3075" max="3075" width="16.85546875" customWidth="1"/>
    <col min="3076" max="3076" width="16.7109375" customWidth="1"/>
    <col min="3077" max="3077" width="14.7109375" customWidth="1"/>
    <col min="3078" max="3078" width="4.85546875" customWidth="1"/>
    <col min="3079" max="3079" width="14.7109375" customWidth="1"/>
    <col min="3080" max="3080" width="18.28515625" customWidth="1"/>
    <col min="3081" max="3081" width="15.5703125" customWidth="1"/>
    <col min="3082" max="3082" width="6.140625" customWidth="1"/>
    <col min="3083" max="3083" width="14.7109375" customWidth="1"/>
    <col min="3084" max="3084" width="16.140625" customWidth="1"/>
    <col min="3085" max="3085" width="14.7109375" customWidth="1"/>
    <col min="3086" max="3086" width="4.85546875" customWidth="1"/>
    <col min="3087" max="3087" width="18.5703125" customWidth="1"/>
    <col min="3329" max="3329" width="33.140625" customWidth="1"/>
    <col min="3330" max="3330" width="11" customWidth="1"/>
    <col min="3331" max="3331" width="16.85546875" customWidth="1"/>
    <col min="3332" max="3332" width="16.7109375" customWidth="1"/>
    <col min="3333" max="3333" width="14.7109375" customWidth="1"/>
    <col min="3334" max="3334" width="4.85546875" customWidth="1"/>
    <col min="3335" max="3335" width="14.7109375" customWidth="1"/>
    <col min="3336" max="3336" width="18.28515625" customWidth="1"/>
    <col min="3337" max="3337" width="15.5703125" customWidth="1"/>
    <col min="3338" max="3338" width="6.140625" customWidth="1"/>
    <col min="3339" max="3339" width="14.7109375" customWidth="1"/>
    <col min="3340" max="3340" width="16.140625" customWidth="1"/>
    <col min="3341" max="3341" width="14.7109375" customWidth="1"/>
    <col min="3342" max="3342" width="4.85546875" customWidth="1"/>
    <col min="3343" max="3343" width="18.5703125" customWidth="1"/>
    <col min="3585" max="3585" width="33.140625" customWidth="1"/>
    <col min="3586" max="3586" width="11" customWidth="1"/>
    <col min="3587" max="3587" width="16.85546875" customWidth="1"/>
    <col min="3588" max="3588" width="16.7109375" customWidth="1"/>
    <col min="3589" max="3589" width="14.7109375" customWidth="1"/>
    <col min="3590" max="3590" width="4.85546875" customWidth="1"/>
    <col min="3591" max="3591" width="14.7109375" customWidth="1"/>
    <col min="3592" max="3592" width="18.28515625" customWidth="1"/>
    <col min="3593" max="3593" width="15.5703125" customWidth="1"/>
    <col min="3594" max="3594" width="6.140625" customWidth="1"/>
    <col min="3595" max="3595" width="14.7109375" customWidth="1"/>
    <col min="3596" max="3596" width="16.140625" customWidth="1"/>
    <col min="3597" max="3597" width="14.7109375" customWidth="1"/>
    <col min="3598" max="3598" width="4.85546875" customWidth="1"/>
    <col min="3599" max="3599" width="18.5703125" customWidth="1"/>
    <col min="3841" max="3841" width="33.140625" customWidth="1"/>
    <col min="3842" max="3842" width="11" customWidth="1"/>
    <col min="3843" max="3843" width="16.85546875" customWidth="1"/>
    <col min="3844" max="3844" width="16.7109375" customWidth="1"/>
    <col min="3845" max="3845" width="14.7109375" customWidth="1"/>
    <col min="3846" max="3846" width="4.85546875" customWidth="1"/>
    <col min="3847" max="3847" width="14.7109375" customWidth="1"/>
    <col min="3848" max="3848" width="18.28515625" customWidth="1"/>
    <col min="3849" max="3849" width="15.5703125" customWidth="1"/>
    <col min="3850" max="3850" width="6.140625" customWidth="1"/>
    <col min="3851" max="3851" width="14.7109375" customWidth="1"/>
    <col min="3852" max="3852" width="16.140625" customWidth="1"/>
    <col min="3853" max="3853" width="14.7109375" customWidth="1"/>
    <col min="3854" max="3854" width="4.85546875" customWidth="1"/>
    <col min="3855" max="3855" width="18.5703125" customWidth="1"/>
    <col min="4097" max="4097" width="33.140625" customWidth="1"/>
    <col min="4098" max="4098" width="11" customWidth="1"/>
    <col min="4099" max="4099" width="16.85546875" customWidth="1"/>
    <col min="4100" max="4100" width="16.7109375" customWidth="1"/>
    <col min="4101" max="4101" width="14.7109375" customWidth="1"/>
    <col min="4102" max="4102" width="4.85546875" customWidth="1"/>
    <col min="4103" max="4103" width="14.7109375" customWidth="1"/>
    <col min="4104" max="4104" width="18.28515625" customWidth="1"/>
    <col min="4105" max="4105" width="15.5703125" customWidth="1"/>
    <col min="4106" max="4106" width="6.140625" customWidth="1"/>
    <col min="4107" max="4107" width="14.7109375" customWidth="1"/>
    <col min="4108" max="4108" width="16.140625" customWidth="1"/>
    <col min="4109" max="4109" width="14.7109375" customWidth="1"/>
    <col min="4110" max="4110" width="4.85546875" customWidth="1"/>
    <col min="4111" max="4111" width="18.5703125" customWidth="1"/>
    <col min="4353" max="4353" width="33.140625" customWidth="1"/>
    <col min="4354" max="4354" width="11" customWidth="1"/>
    <col min="4355" max="4355" width="16.85546875" customWidth="1"/>
    <col min="4356" max="4356" width="16.7109375" customWidth="1"/>
    <col min="4357" max="4357" width="14.7109375" customWidth="1"/>
    <col min="4358" max="4358" width="4.85546875" customWidth="1"/>
    <col min="4359" max="4359" width="14.7109375" customWidth="1"/>
    <col min="4360" max="4360" width="18.28515625" customWidth="1"/>
    <col min="4361" max="4361" width="15.5703125" customWidth="1"/>
    <col min="4362" max="4362" width="6.140625" customWidth="1"/>
    <col min="4363" max="4363" width="14.7109375" customWidth="1"/>
    <col min="4364" max="4364" width="16.140625" customWidth="1"/>
    <col min="4365" max="4365" width="14.7109375" customWidth="1"/>
    <col min="4366" max="4366" width="4.85546875" customWidth="1"/>
    <col min="4367" max="4367" width="18.5703125" customWidth="1"/>
    <col min="4609" max="4609" width="33.140625" customWidth="1"/>
    <col min="4610" max="4610" width="11" customWidth="1"/>
    <col min="4611" max="4611" width="16.85546875" customWidth="1"/>
    <col min="4612" max="4612" width="16.7109375" customWidth="1"/>
    <col min="4613" max="4613" width="14.7109375" customWidth="1"/>
    <col min="4614" max="4614" width="4.85546875" customWidth="1"/>
    <col min="4615" max="4615" width="14.7109375" customWidth="1"/>
    <col min="4616" max="4616" width="18.28515625" customWidth="1"/>
    <col min="4617" max="4617" width="15.5703125" customWidth="1"/>
    <col min="4618" max="4618" width="6.140625" customWidth="1"/>
    <col min="4619" max="4619" width="14.7109375" customWidth="1"/>
    <col min="4620" max="4620" width="16.140625" customWidth="1"/>
    <col min="4621" max="4621" width="14.7109375" customWidth="1"/>
    <col min="4622" max="4622" width="4.85546875" customWidth="1"/>
    <col min="4623" max="4623" width="18.5703125" customWidth="1"/>
    <col min="4865" max="4865" width="33.140625" customWidth="1"/>
    <col min="4866" max="4866" width="11" customWidth="1"/>
    <col min="4867" max="4867" width="16.85546875" customWidth="1"/>
    <col min="4868" max="4868" width="16.7109375" customWidth="1"/>
    <col min="4869" max="4869" width="14.7109375" customWidth="1"/>
    <col min="4870" max="4870" width="4.85546875" customWidth="1"/>
    <col min="4871" max="4871" width="14.7109375" customWidth="1"/>
    <col min="4872" max="4872" width="18.28515625" customWidth="1"/>
    <col min="4873" max="4873" width="15.5703125" customWidth="1"/>
    <col min="4874" max="4874" width="6.140625" customWidth="1"/>
    <col min="4875" max="4875" width="14.7109375" customWidth="1"/>
    <col min="4876" max="4876" width="16.140625" customWidth="1"/>
    <col min="4877" max="4877" width="14.7109375" customWidth="1"/>
    <col min="4878" max="4878" width="4.85546875" customWidth="1"/>
    <col min="4879" max="4879" width="18.5703125" customWidth="1"/>
    <col min="5121" max="5121" width="33.140625" customWidth="1"/>
    <col min="5122" max="5122" width="11" customWidth="1"/>
    <col min="5123" max="5123" width="16.85546875" customWidth="1"/>
    <col min="5124" max="5124" width="16.7109375" customWidth="1"/>
    <col min="5125" max="5125" width="14.7109375" customWidth="1"/>
    <col min="5126" max="5126" width="4.85546875" customWidth="1"/>
    <col min="5127" max="5127" width="14.7109375" customWidth="1"/>
    <col min="5128" max="5128" width="18.28515625" customWidth="1"/>
    <col min="5129" max="5129" width="15.5703125" customWidth="1"/>
    <col min="5130" max="5130" width="6.140625" customWidth="1"/>
    <col min="5131" max="5131" width="14.7109375" customWidth="1"/>
    <col min="5132" max="5132" width="16.140625" customWidth="1"/>
    <col min="5133" max="5133" width="14.7109375" customWidth="1"/>
    <col min="5134" max="5134" width="4.85546875" customWidth="1"/>
    <col min="5135" max="5135" width="18.5703125" customWidth="1"/>
    <col min="5377" max="5377" width="33.140625" customWidth="1"/>
    <col min="5378" max="5378" width="11" customWidth="1"/>
    <col min="5379" max="5379" width="16.85546875" customWidth="1"/>
    <col min="5380" max="5380" width="16.7109375" customWidth="1"/>
    <col min="5381" max="5381" width="14.7109375" customWidth="1"/>
    <col min="5382" max="5382" width="4.85546875" customWidth="1"/>
    <col min="5383" max="5383" width="14.7109375" customWidth="1"/>
    <col min="5384" max="5384" width="18.28515625" customWidth="1"/>
    <col min="5385" max="5385" width="15.5703125" customWidth="1"/>
    <col min="5386" max="5386" width="6.140625" customWidth="1"/>
    <col min="5387" max="5387" width="14.7109375" customWidth="1"/>
    <col min="5388" max="5388" width="16.140625" customWidth="1"/>
    <col min="5389" max="5389" width="14.7109375" customWidth="1"/>
    <col min="5390" max="5390" width="4.85546875" customWidth="1"/>
    <col min="5391" max="5391" width="18.5703125" customWidth="1"/>
    <col min="5633" max="5633" width="33.140625" customWidth="1"/>
    <col min="5634" max="5634" width="11" customWidth="1"/>
    <col min="5635" max="5635" width="16.85546875" customWidth="1"/>
    <col min="5636" max="5636" width="16.7109375" customWidth="1"/>
    <col min="5637" max="5637" width="14.7109375" customWidth="1"/>
    <col min="5638" max="5638" width="4.85546875" customWidth="1"/>
    <col min="5639" max="5639" width="14.7109375" customWidth="1"/>
    <col min="5640" max="5640" width="18.28515625" customWidth="1"/>
    <col min="5641" max="5641" width="15.5703125" customWidth="1"/>
    <col min="5642" max="5642" width="6.140625" customWidth="1"/>
    <col min="5643" max="5643" width="14.7109375" customWidth="1"/>
    <col min="5644" max="5644" width="16.140625" customWidth="1"/>
    <col min="5645" max="5645" width="14.7109375" customWidth="1"/>
    <col min="5646" max="5646" width="4.85546875" customWidth="1"/>
    <col min="5647" max="5647" width="18.5703125" customWidth="1"/>
    <col min="5889" max="5889" width="33.140625" customWidth="1"/>
    <col min="5890" max="5890" width="11" customWidth="1"/>
    <col min="5891" max="5891" width="16.85546875" customWidth="1"/>
    <col min="5892" max="5892" width="16.7109375" customWidth="1"/>
    <col min="5893" max="5893" width="14.7109375" customWidth="1"/>
    <col min="5894" max="5894" width="4.85546875" customWidth="1"/>
    <col min="5895" max="5895" width="14.7109375" customWidth="1"/>
    <col min="5896" max="5896" width="18.28515625" customWidth="1"/>
    <col min="5897" max="5897" width="15.5703125" customWidth="1"/>
    <col min="5898" max="5898" width="6.140625" customWidth="1"/>
    <col min="5899" max="5899" width="14.7109375" customWidth="1"/>
    <col min="5900" max="5900" width="16.140625" customWidth="1"/>
    <col min="5901" max="5901" width="14.7109375" customWidth="1"/>
    <col min="5902" max="5902" width="4.85546875" customWidth="1"/>
    <col min="5903" max="5903" width="18.5703125" customWidth="1"/>
    <col min="6145" max="6145" width="33.140625" customWidth="1"/>
    <col min="6146" max="6146" width="11" customWidth="1"/>
    <col min="6147" max="6147" width="16.85546875" customWidth="1"/>
    <col min="6148" max="6148" width="16.7109375" customWidth="1"/>
    <col min="6149" max="6149" width="14.7109375" customWidth="1"/>
    <col min="6150" max="6150" width="4.85546875" customWidth="1"/>
    <col min="6151" max="6151" width="14.7109375" customWidth="1"/>
    <col min="6152" max="6152" width="18.28515625" customWidth="1"/>
    <col min="6153" max="6153" width="15.5703125" customWidth="1"/>
    <col min="6154" max="6154" width="6.140625" customWidth="1"/>
    <col min="6155" max="6155" width="14.7109375" customWidth="1"/>
    <col min="6156" max="6156" width="16.140625" customWidth="1"/>
    <col min="6157" max="6157" width="14.7109375" customWidth="1"/>
    <col min="6158" max="6158" width="4.85546875" customWidth="1"/>
    <col min="6159" max="6159" width="18.5703125" customWidth="1"/>
    <col min="6401" max="6401" width="33.140625" customWidth="1"/>
    <col min="6402" max="6402" width="11" customWidth="1"/>
    <col min="6403" max="6403" width="16.85546875" customWidth="1"/>
    <col min="6404" max="6404" width="16.7109375" customWidth="1"/>
    <col min="6405" max="6405" width="14.7109375" customWidth="1"/>
    <col min="6406" max="6406" width="4.85546875" customWidth="1"/>
    <col min="6407" max="6407" width="14.7109375" customWidth="1"/>
    <col min="6408" max="6408" width="18.28515625" customWidth="1"/>
    <col min="6409" max="6409" width="15.5703125" customWidth="1"/>
    <col min="6410" max="6410" width="6.140625" customWidth="1"/>
    <col min="6411" max="6411" width="14.7109375" customWidth="1"/>
    <col min="6412" max="6412" width="16.140625" customWidth="1"/>
    <col min="6413" max="6413" width="14.7109375" customWidth="1"/>
    <col min="6414" max="6414" width="4.85546875" customWidth="1"/>
    <col min="6415" max="6415" width="18.5703125" customWidth="1"/>
    <col min="6657" max="6657" width="33.140625" customWidth="1"/>
    <col min="6658" max="6658" width="11" customWidth="1"/>
    <col min="6659" max="6659" width="16.85546875" customWidth="1"/>
    <col min="6660" max="6660" width="16.7109375" customWidth="1"/>
    <col min="6661" max="6661" width="14.7109375" customWidth="1"/>
    <col min="6662" max="6662" width="4.85546875" customWidth="1"/>
    <col min="6663" max="6663" width="14.7109375" customWidth="1"/>
    <col min="6664" max="6664" width="18.28515625" customWidth="1"/>
    <col min="6665" max="6665" width="15.5703125" customWidth="1"/>
    <col min="6666" max="6666" width="6.140625" customWidth="1"/>
    <col min="6667" max="6667" width="14.7109375" customWidth="1"/>
    <col min="6668" max="6668" width="16.140625" customWidth="1"/>
    <col min="6669" max="6669" width="14.7109375" customWidth="1"/>
    <col min="6670" max="6670" width="4.85546875" customWidth="1"/>
    <col min="6671" max="6671" width="18.5703125" customWidth="1"/>
    <col min="6913" max="6913" width="33.140625" customWidth="1"/>
    <col min="6914" max="6914" width="11" customWidth="1"/>
    <col min="6915" max="6915" width="16.85546875" customWidth="1"/>
    <col min="6916" max="6916" width="16.7109375" customWidth="1"/>
    <col min="6917" max="6917" width="14.7109375" customWidth="1"/>
    <col min="6918" max="6918" width="4.85546875" customWidth="1"/>
    <col min="6919" max="6919" width="14.7109375" customWidth="1"/>
    <col min="6920" max="6920" width="18.28515625" customWidth="1"/>
    <col min="6921" max="6921" width="15.5703125" customWidth="1"/>
    <col min="6922" max="6922" width="6.140625" customWidth="1"/>
    <col min="6923" max="6923" width="14.7109375" customWidth="1"/>
    <col min="6924" max="6924" width="16.140625" customWidth="1"/>
    <col min="6925" max="6925" width="14.7109375" customWidth="1"/>
    <col min="6926" max="6926" width="4.85546875" customWidth="1"/>
    <col min="6927" max="6927" width="18.5703125" customWidth="1"/>
    <col min="7169" max="7169" width="33.140625" customWidth="1"/>
    <col min="7170" max="7170" width="11" customWidth="1"/>
    <col min="7171" max="7171" width="16.85546875" customWidth="1"/>
    <col min="7172" max="7172" width="16.7109375" customWidth="1"/>
    <col min="7173" max="7173" width="14.7109375" customWidth="1"/>
    <col min="7174" max="7174" width="4.85546875" customWidth="1"/>
    <col min="7175" max="7175" width="14.7109375" customWidth="1"/>
    <col min="7176" max="7176" width="18.28515625" customWidth="1"/>
    <col min="7177" max="7177" width="15.5703125" customWidth="1"/>
    <col min="7178" max="7178" width="6.140625" customWidth="1"/>
    <col min="7179" max="7179" width="14.7109375" customWidth="1"/>
    <col min="7180" max="7180" width="16.140625" customWidth="1"/>
    <col min="7181" max="7181" width="14.7109375" customWidth="1"/>
    <col min="7182" max="7182" width="4.85546875" customWidth="1"/>
    <col min="7183" max="7183" width="18.5703125" customWidth="1"/>
    <col min="7425" max="7425" width="33.140625" customWidth="1"/>
    <col min="7426" max="7426" width="11" customWidth="1"/>
    <col min="7427" max="7427" width="16.85546875" customWidth="1"/>
    <col min="7428" max="7428" width="16.7109375" customWidth="1"/>
    <col min="7429" max="7429" width="14.7109375" customWidth="1"/>
    <col min="7430" max="7430" width="4.85546875" customWidth="1"/>
    <col min="7431" max="7431" width="14.7109375" customWidth="1"/>
    <col min="7432" max="7432" width="18.28515625" customWidth="1"/>
    <col min="7433" max="7433" width="15.5703125" customWidth="1"/>
    <col min="7434" max="7434" width="6.140625" customWidth="1"/>
    <col min="7435" max="7435" width="14.7109375" customWidth="1"/>
    <col min="7436" max="7436" width="16.140625" customWidth="1"/>
    <col min="7437" max="7437" width="14.7109375" customWidth="1"/>
    <col min="7438" max="7438" width="4.85546875" customWidth="1"/>
    <col min="7439" max="7439" width="18.5703125" customWidth="1"/>
    <col min="7681" max="7681" width="33.140625" customWidth="1"/>
    <col min="7682" max="7682" width="11" customWidth="1"/>
    <col min="7683" max="7683" width="16.85546875" customWidth="1"/>
    <col min="7684" max="7684" width="16.7109375" customWidth="1"/>
    <col min="7685" max="7685" width="14.7109375" customWidth="1"/>
    <col min="7686" max="7686" width="4.85546875" customWidth="1"/>
    <col min="7687" max="7687" width="14.7109375" customWidth="1"/>
    <col min="7688" max="7688" width="18.28515625" customWidth="1"/>
    <col min="7689" max="7689" width="15.5703125" customWidth="1"/>
    <col min="7690" max="7690" width="6.140625" customWidth="1"/>
    <col min="7691" max="7691" width="14.7109375" customWidth="1"/>
    <col min="7692" max="7692" width="16.140625" customWidth="1"/>
    <col min="7693" max="7693" width="14.7109375" customWidth="1"/>
    <col min="7694" max="7694" width="4.85546875" customWidth="1"/>
    <col min="7695" max="7695" width="18.5703125" customWidth="1"/>
    <col min="7937" max="7937" width="33.140625" customWidth="1"/>
    <col min="7938" max="7938" width="11" customWidth="1"/>
    <col min="7939" max="7939" width="16.85546875" customWidth="1"/>
    <col min="7940" max="7940" width="16.7109375" customWidth="1"/>
    <col min="7941" max="7941" width="14.7109375" customWidth="1"/>
    <col min="7942" max="7942" width="4.85546875" customWidth="1"/>
    <col min="7943" max="7943" width="14.7109375" customWidth="1"/>
    <col min="7944" max="7944" width="18.28515625" customWidth="1"/>
    <col min="7945" max="7945" width="15.5703125" customWidth="1"/>
    <col min="7946" max="7946" width="6.140625" customWidth="1"/>
    <col min="7947" max="7947" width="14.7109375" customWidth="1"/>
    <col min="7948" max="7948" width="16.140625" customWidth="1"/>
    <col min="7949" max="7949" width="14.7109375" customWidth="1"/>
    <col min="7950" max="7950" width="4.85546875" customWidth="1"/>
    <col min="7951" max="7951" width="18.5703125" customWidth="1"/>
    <col min="8193" max="8193" width="33.140625" customWidth="1"/>
    <col min="8194" max="8194" width="11" customWidth="1"/>
    <col min="8195" max="8195" width="16.85546875" customWidth="1"/>
    <col min="8196" max="8196" width="16.7109375" customWidth="1"/>
    <col min="8197" max="8197" width="14.7109375" customWidth="1"/>
    <col min="8198" max="8198" width="4.85546875" customWidth="1"/>
    <col min="8199" max="8199" width="14.7109375" customWidth="1"/>
    <col min="8200" max="8200" width="18.28515625" customWidth="1"/>
    <col min="8201" max="8201" width="15.5703125" customWidth="1"/>
    <col min="8202" max="8202" width="6.140625" customWidth="1"/>
    <col min="8203" max="8203" width="14.7109375" customWidth="1"/>
    <col min="8204" max="8204" width="16.140625" customWidth="1"/>
    <col min="8205" max="8205" width="14.7109375" customWidth="1"/>
    <col min="8206" max="8206" width="4.85546875" customWidth="1"/>
    <col min="8207" max="8207" width="18.5703125" customWidth="1"/>
    <col min="8449" max="8449" width="33.140625" customWidth="1"/>
    <col min="8450" max="8450" width="11" customWidth="1"/>
    <col min="8451" max="8451" width="16.85546875" customWidth="1"/>
    <col min="8452" max="8452" width="16.7109375" customWidth="1"/>
    <col min="8453" max="8453" width="14.7109375" customWidth="1"/>
    <col min="8454" max="8454" width="4.85546875" customWidth="1"/>
    <col min="8455" max="8455" width="14.7109375" customWidth="1"/>
    <col min="8456" max="8456" width="18.28515625" customWidth="1"/>
    <col min="8457" max="8457" width="15.5703125" customWidth="1"/>
    <col min="8458" max="8458" width="6.140625" customWidth="1"/>
    <col min="8459" max="8459" width="14.7109375" customWidth="1"/>
    <col min="8460" max="8460" width="16.140625" customWidth="1"/>
    <col min="8461" max="8461" width="14.7109375" customWidth="1"/>
    <col min="8462" max="8462" width="4.85546875" customWidth="1"/>
    <col min="8463" max="8463" width="18.5703125" customWidth="1"/>
    <col min="8705" max="8705" width="33.140625" customWidth="1"/>
    <col min="8706" max="8706" width="11" customWidth="1"/>
    <col min="8707" max="8707" width="16.85546875" customWidth="1"/>
    <col min="8708" max="8708" width="16.7109375" customWidth="1"/>
    <col min="8709" max="8709" width="14.7109375" customWidth="1"/>
    <col min="8710" max="8710" width="4.85546875" customWidth="1"/>
    <col min="8711" max="8711" width="14.7109375" customWidth="1"/>
    <col min="8712" max="8712" width="18.28515625" customWidth="1"/>
    <col min="8713" max="8713" width="15.5703125" customWidth="1"/>
    <col min="8714" max="8714" width="6.140625" customWidth="1"/>
    <col min="8715" max="8715" width="14.7109375" customWidth="1"/>
    <col min="8716" max="8716" width="16.140625" customWidth="1"/>
    <col min="8717" max="8717" width="14.7109375" customWidth="1"/>
    <col min="8718" max="8718" width="4.85546875" customWidth="1"/>
    <col min="8719" max="8719" width="18.5703125" customWidth="1"/>
    <col min="8961" max="8961" width="33.140625" customWidth="1"/>
    <col min="8962" max="8962" width="11" customWidth="1"/>
    <col min="8963" max="8963" width="16.85546875" customWidth="1"/>
    <col min="8964" max="8964" width="16.7109375" customWidth="1"/>
    <col min="8965" max="8965" width="14.7109375" customWidth="1"/>
    <col min="8966" max="8966" width="4.85546875" customWidth="1"/>
    <col min="8967" max="8967" width="14.7109375" customWidth="1"/>
    <col min="8968" max="8968" width="18.28515625" customWidth="1"/>
    <col min="8969" max="8969" width="15.5703125" customWidth="1"/>
    <col min="8970" max="8970" width="6.140625" customWidth="1"/>
    <col min="8971" max="8971" width="14.7109375" customWidth="1"/>
    <col min="8972" max="8972" width="16.140625" customWidth="1"/>
    <col min="8973" max="8973" width="14.7109375" customWidth="1"/>
    <col min="8974" max="8974" width="4.85546875" customWidth="1"/>
    <col min="8975" max="8975" width="18.5703125" customWidth="1"/>
    <col min="9217" max="9217" width="33.140625" customWidth="1"/>
    <col min="9218" max="9218" width="11" customWidth="1"/>
    <col min="9219" max="9219" width="16.85546875" customWidth="1"/>
    <col min="9220" max="9220" width="16.7109375" customWidth="1"/>
    <col min="9221" max="9221" width="14.7109375" customWidth="1"/>
    <col min="9222" max="9222" width="4.85546875" customWidth="1"/>
    <col min="9223" max="9223" width="14.7109375" customWidth="1"/>
    <col min="9224" max="9224" width="18.28515625" customWidth="1"/>
    <col min="9225" max="9225" width="15.5703125" customWidth="1"/>
    <col min="9226" max="9226" width="6.140625" customWidth="1"/>
    <col min="9227" max="9227" width="14.7109375" customWidth="1"/>
    <col min="9228" max="9228" width="16.140625" customWidth="1"/>
    <col min="9229" max="9229" width="14.7109375" customWidth="1"/>
    <col min="9230" max="9230" width="4.85546875" customWidth="1"/>
    <col min="9231" max="9231" width="18.5703125" customWidth="1"/>
    <col min="9473" max="9473" width="33.140625" customWidth="1"/>
    <col min="9474" max="9474" width="11" customWidth="1"/>
    <col min="9475" max="9475" width="16.85546875" customWidth="1"/>
    <col min="9476" max="9476" width="16.7109375" customWidth="1"/>
    <col min="9477" max="9477" width="14.7109375" customWidth="1"/>
    <col min="9478" max="9478" width="4.85546875" customWidth="1"/>
    <col min="9479" max="9479" width="14.7109375" customWidth="1"/>
    <col min="9480" max="9480" width="18.28515625" customWidth="1"/>
    <col min="9481" max="9481" width="15.5703125" customWidth="1"/>
    <col min="9482" max="9482" width="6.140625" customWidth="1"/>
    <col min="9483" max="9483" width="14.7109375" customWidth="1"/>
    <col min="9484" max="9484" width="16.140625" customWidth="1"/>
    <col min="9485" max="9485" width="14.7109375" customWidth="1"/>
    <col min="9486" max="9486" width="4.85546875" customWidth="1"/>
    <col min="9487" max="9487" width="18.5703125" customWidth="1"/>
    <col min="9729" max="9729" width="33.140625" customWidth="1"/>
    <col min="9730" max="9730" width="11" customWidth="1"/>
    <col min="9731" max="9731" width="16.85546875" customWidth="1"/>
    <col min="9732" max="9732" width="16.7109375" customWidth="1"/>
    <col min="9733" max="9733" width="14.7109375" customWidth="1"/>
    <col min="9734" max="9734" width="4.85546875" customWidth="1"/>
    <col min="9735" max="9735" width="14.7109375" customWidth="1"/>
    <col min="9736" max="9736" width="18.28515625" customWidth="1"/>
    <col min="9737" max="9737" width="15.5703125" customWidth="1"/>
    <col min="9738" max="9738" width="6.140625" customWidth="1"/>
    <col min="9739" max="9739" width="14.7109375" customWidth="1"/>
    <col min="9740" max="9740" width="16.140625" customWidth="1"/>
    <col min="9741" max="9741" width="14.7109375" customWidth="1"/>
    <col min="9742" max="9742" width="4.85546875" customWidth="1"/>
    <col min="9743" max="9743" width="18.5703125" customWidth="1"/>
    <col min="9985" max="9985" width="33.140625" customWidth="1"/>
    <col min="9986" max="9986" width="11" customWidth="1"/>
    <col min="9987" max="9987" width="16.85546875" customWidth="1"/>
    <col min="9988" max="9988" width="16.7109375" customWidth="1"/>
    <col min="9989" max="9989" width="14.7109375" customWidth="1"/>
    <col min="9990" max="9990" width="4.85546875" customWidth="1"/>
    <col min="9991" max="9991" width="14.7109375" customWidth="1"/>
    <col min="9992" max="9992" width="18.28515625" customWidth="1"/>
    <col min="9993" max="9993" width="15.5703125" customWidth="1"/>
    <col min="9994" max="9994" width="6.140625" customWidth="1"/>
    <col min="9995" max="9995" width="14.7109375" customWidth="1"/>
    <col min="9996" max="9996" width="16.140625" customWidth="1"/>
    <col min="9997" max="9997" width="14.7109375" customWidth="1"/>
    <col min="9998" max="9998" width="4.85546875" customWidth="1"/>
    <col min="9999" max="9999" width="18.5703125" customWidth="1"/>
    <col min="10241" max="10241" width="33.140625" customWidth="1"/>
    <col min="10242" max="10242" width="11" customWidth="1"/>
    <col min="10243" max="10243" width="16.85546875" customWidth="1"/>
    <col min="10244" max="10244" width="16.7109375" customWidth="1"/>
    <col min="10245" max="10245" width="14.7109375" customWidth="1"/>
    <col min="10246" max="10246" width="4.85546875" customWidth="1"/>
    <col min="10247" max="10247" width="14.7109375" customWidth="1"/>
    <col min="10248" max="10248" width="18.28515625" customWidth="1"/>
    <col min="10249" max="10249" width="15.5703125" customWidth="1"/>
    <col min="10250" max="10250" width="6.140625" customWidth="1"/>
    <col min="10251" max="10251" width="14.7109375" customWidth="1"/>
    <col min="10252" max="10252" width="16.140625" customWidth="1"/>
    <col min="10253" max="10253" width="14.7109375" customWidth="1"/>
    <col min="10254" max="10254" width="4.85546875" customWidth="1"/>
    <col min="10255" max="10255" width="18.5703125" customWidth="1"/>
    <col min="10497" max="10497" width="33.140625" customWidth="1"/>
    <col min="10498" max="10498" width="11" customWidth="1"/>
    <col min="10499" max="10499" width="16.85546875" customWidth="1"/>
    <col min="10500" max="10500" width="16.7109375" customWidth="1"/>
    <col min="10501" max="10501" width="14.7109375" customWidth="1"/>
    <col min="10502" max="10502" width="4.85546875" customWidth="1"/>
    <col min="10503" max="10503" width="14.7109375" customWidth="1"/>
    <col min="10504" max="10504" width="18.28515625" customWidth="1"/>
    <col min="10505" max="10505" width="15.5703125" customWidth="1"/>
    <col min="10506" max="10506" width="6.140625" customWidth="1"/>
    <col min="10507" max="10507" width="14.7109375" customWidth="1"/>
    <col min="10508" max="10508" width="16.140625" customWidth="1"/>
    <col min="10509" max="10509" width="14.7109375" customWidth="1"/>
    <col min="10510" max="10510" width="4.85546875" customWidth="1"/>
    <col min="10511" max="10511" width="18.5703125" customWidth="1"/>
    <col min="10753" max="10753" width="33.140625" customWidth="1"/>
    <col min="10754" max="10754" width="11" customWidth="1"/>
    <col min="10755" max="10755" width="16.85546875" customWidth="1"/>
    <col min="10756" max="10756" width="16.7109375" customWidth="1"/>
    <col min="10757" max="10757" width="14.7109375" customWidth="1"/>
    <col min="10758" max="10758" width="4.85546875" customWidth="1"/>
    <col min="10759" max="10759" width="14.7109375" customWidth="1"/>
    <col min="10760" max="10760" width="18.28515625" customWidth="1"/>
    <col min="10761" max="10761" width="15.5703125" customWidth="1"/>
    <col min="10762" max="10762" width="6.140625" customWidth="1"/>
    <col min="10763" max="10763" width="14.7109375" customWidth="1"/>
    <col min="10764" max="10764" width="16.140625" customWidth="1"/>
    <col min="10765" max="10765" width="14.7109375" customWidth="1"/>
    <col min="10766" max="10766" width="4.85546875" customWidth="1"/>
    <col min="10767" max="10767" width="18.5703125" customWidth="1"/>
    <col min="11009" max="11009" width="33.140625" customWidth="1"/>
    <col min="11010" max="11010" width="11" customWidth="1"/>
    <col min="11011" max="11011" width="16.85546875" customWidth="1"/>
    <col min="11012" max="11012" width="16.7109375" customWidth="1"/>
    <col min="11013" max="11013" width="14.7109375" customWidth="1"/>
    <col min="11014" max="11014" width="4.85546875" customWidth="1"/>
    <col min="11015" max="11015" width="14.7109375" customWidth="1"/>
    <col min="11016" max="11016" width="18.28515625" customWidth="1"/>
    <col min="11017" max="11017" width="15.5703125" customWidth="1"/>
    <col min="11018" max="11018" width="6.140625" customWidth="1"/>
    <col min="11019" max="11019" width="14.7109375" customWidth="1"/>
    <col min="11020" max="11020" width="16.140625" customWidth="1"/>
    <col min="11021" max="11021" width="14.7109375" customWidth="1"/>
    <col min="11022" max="11022" width="4.85546875" customWidth="1"/>
    <col min="11023" max="11023" width="18.5703125" customWidth="1"/>
    <col min="11265" max="11265" width="33.140625" customWidth="1"/>
    <col min="11266" max="11266" width="11" customWidth="1"/>
    <col min="11267" max="11267" width="16.85546875" customWidth="1"/>
    <col min="11268" max="11268" width="16.7109375" customWidth="1"/>
    <col min="11269" max="11269" width="14.7109375" customWidth="1"/>
    <col min="11270" max="11270" width="4.85546875" customWidth="1"/>
    <col min="11271" max="11271" width="14.7109375" customWidth="1"/>
    <col min="11272" max="11272" width="18.28515625" customWidth="1"/>
    <col min="11273" max="11273" width="15.5703125" customWidth="1"/>
    <col min="11274" max="11274" width="6.140625" customWidth="1"/>
    <col min="11275" max="11275" width="14.7109375" customWidth="1"/>
    <col min="11276" max="11276" width="16.140625" customWidth="1"/>
    <col min="11277" max="11277" width="14.7109375" customWidth="1"/>
    <col min="11278" max="11278" width="4.85546875" customWidth="1"/>
    <col min="11279" max="11279" width="18.5703125" customWidth="1"/>
    <col min="11521" max="11521" width="33.140625" customWidth="1"/>
    <col min="11522" max="11522" width="11" customWidth="1"/>
    <col min="11523" max="11523" width="16.85546875" customWidth="1"/>
    <col min="11524" max="11524" width="16.7109375" customWidth="1"/>
    <col min="11525" max="11525" width="14.7109375" customWidth="1"/>
    <col min="11526" max="11526" width="4.85546875" customWidth="1"/>
    <col min="11527" max="11527" width="14.7109375" customWidth="1"/>
    <col min="11528" max="11528" width="18.28515625" customWidth="1"/>
    <col min="11529" max="11529" width="15.5703125" customWidth="1"/>
    <col min="11530" max="11530" width="6.140625" customWidth="1"/>
    <col min="11531" max="11531" width="14.7109375" customWidth="1"/>
    <col min="11532" max="11532" width="16.140625" customWidth="1"/>
    <col min="11533" max="11533" width="14.7109375" customWidth="1"/>
    <col min="11534" max="11534" width="4.85546875" customWidth="1"/>
    <col min="11535" max="11535" width="18.5703125" customWidth="1"/>
    <col min="11777" max="11777" width="33.140625" customWidth="1"/>
    <col min="11778" max="11778" width="11" customWidth="1"/>
    <col min="11779" max="11779" width="16.85546875" customWidth="1"/>
    <col min="11780" max="11780" width="16.7109375" customWidth="1"/>
    <col min="11781" max="11781" width="14.7109375" customWidth="1"/>
    <col min="11782" max="11782" width="4.85546875" customWidth="1"/>
    <col min="11783" max="11783" width="14.7109375" customWidth="1"/>
    <col min="11784" max="11784" width="18.28515625" customWidth="1"/>
    <col min="11785" max="11785" width="15.5703125" customWidth="1"/>
    <col min="11786" max="11786" width="6.140625" customWidth="1"/>
    <col min="11787" max="11787" width="14.7109375" customWidth="1"/>
    <col min="11788" max="11788" width="16.140625" customWidth="1"/>
    <col min="11789" max="11789" width="14.7109375" customWidth="1"/>
    <col min="11790" max="11790" width="4.85546875" customWidth="1"/>
    <col min="11791" max="11791" width="18.5703125" customWidth="1"/>
    <col min="12033" max="12033" width="33.140625" customWidth="1"/>
    <col min="12034" max="12034" width="11" customWidth="1"/>
    <col min="12035" max="12035" width="16.85546875" customWidth="1"/>
    <col min="12036" max="12036" width="16.7109375" customWidth="1"/>
    <col min="12037" max="12037" width="14.7109375" customWidth="1"/>
    <col min="12038" max="12038" width="4.85546875" customWidth="1"/>
    <col min="12039" max="12039" width="14.7109375" customWidth="1"/>
    <col min="12040" max="12040" width="18.28515625" customWidth="1"/>
    <col min="12041" max="12041" width="15.5703125" customWidth="1"/>
    <col min="12042" max="12042" width="6.140625" customWidth="1"/>
    <col min="12043" max="12043" width="14.7109375" customWidth="1"/>
    <col min="12044" max="12044" width="16.140625" customWidth="1"/>
    <col min="12045" max="12045" width="14.7109375" customWidth="1"/>
    <col min="12046" max="12046" width="4.85546875" customWidth="1"/>
    <col min="12047" max="12047" width="18.5703125" customWidth="1"/>
    <col min="12289" max="12289" width="33.140625" customWidth="1"/>
    <col min="12290" max="12290" width="11" customWidth="1"/>
    <col min="12291" max="12291" width="16.85546875" customWidth="1"/>
    <col min="12292" max="12292" width="16.7109375" customWidth="1"/>
    <col min="12293" max="12293" width="14.7109375" customWidth="1"/>
    <col min="12294" max="12294" width="4.85546875" customWidth="1"/>
    <col min="12295" max="12295" width="14.7109375" customWidth="1"/>
    <col min="12296" max="12296" width="18.28515625" customWidth="1"/>
    <col min="12297" max="12297" width="15.5703125" customWidth="1"/>
    <col min="12298" max="12298" width="6.140625" customWidth="1"/>
    <col min="12299" max="12299" width="14.7109375" customWidth="1"/>
    <col min="12300" max="12300" width="16.140625" customWidth="1"/>
    <col min="12301" max="12301" width="14.7109375" customWidth="1"/>
    <col min="12302" max="12302" width="4.85546875" customWidth="1"/>
    <col min="12303" max="12303" width="18.5703125" customWidth="1"/>
    <col min="12545" max="12545" width="33.140625" customWidth="1"/>
    <col min="12546" max="12546" width="11" customWidth="1"/>
    <col min="12547" max="12547" width="16.85546875" customWidth="1"/>
    <col min="12548" max="12548" width="16.7109375" customWidth="1"/>
    <col min="12549" max="12549" width="14.7109375" customWidth="1"/>
    <col min="12550" max="12550" width="4.85546875" customWidth="1"/>
    <col min="12551" max="12551" width="14.7109375" customWidth="1"/>
    <col min="12552" max="12552" width="18.28515625" customWidth="1"/>
    <col min="12553" max="12553" width="15.5703125" customWidth="1"/>
    <col min="12554" max="12554" width="6.140625" customWidth="1"/>
    <col min="12555" max="12555" width="14.7109375" customWidth="1"/>
    <col min="12556" max="12556" width="16.140625" customWidth="1"/>
    <col min="12557" max="12557" width="14.7109375" customWidth="1"/>
    <col min="12558" max="12558" width="4.85546875" customWidth="1"/>
    <col min="12559" max="12559" width="18.5703125" customWidth="1"/>
    <col min="12801" max="12801" width="33.140625" customWidth="1"/>
    <col min="12802" max="12802" width="11" customWidth="1"/>
    <col min="12803" max="12803" width="16.85546875" customWidth="1"/>
    <col min="12804" max="12804" width="16.7109375" customWidth="1"/>
    <col min="12805" max="12805" width="14.7109375" customWidth="1"/>
    <col min="12806" max="12806" width="4.85546875" customWidth="1"/>
    <col min="12807" max="12807" width="14.7109375" customWidth="1"/>
    <col min="12808" max="12808" width="18.28515625" customWidth="1"/>
    <col min="12809" max="12809" width="15.5703125" customWidth="1"/>
    <col min="12810" max="12810" width="6.140625" customWidth="1"/>
    <col min="12811" max="12811" width="14.7109375" customWidth="1"/>
    <col min="12812" max="12812" width="16.140625" customWidth="1"/>
    <col min="12813" max="12813" width="14.7109375" customWidth="1"/>
    <col min="12814" max="12814" width="4.85546875" customWidth="1"/>
    <col min="12815" max="12815" width="18.5703125" customWidth="1"/>
    <col min="13057" max="13057" width="33.140625" customWidth="1"/>
    <col min="13058" max="13058" width="11" customWidth="1"/>
    <col min="13059" max="13059" width="16.85546875" customWidth="1"/>
    <col min="13060" max="13060" width="16.7109375" customWidth="1"/>
    <col min="13061" max="13061" width="14.7109375" customWidth="1"/>
    <col min="13062" max="13062" width="4.85546875" customWidth="1"/>
    <col min="13063" max="13063" width="14.7109375" customWidth="1"/>
    <col min="13064" max="13064" width="18.28515625" customWidth="1"/>
    <col min="13065" max="13065" width="15.5703125" customWidth="1"/>
    <col min="13066" max="13066" width="6.140625" customWidth="1"/>
    <col min="13067" max="13067" width="14.7109375" customWidth="1"/>
    <col min="13068" max="13068" width="16.140625" customWidth="1"/>
    <col min="13069" max="13069" width="14.7109375" customWidth="1"/>
    <col min="13070" max="13070" width="4.85546875" customWidth="1"/>
    <col min="13071" max="13071" width="18.5703125" customWidth="1"/>
    <col min="13313" max="13313" width="33.140625" customWidth="1"/>
    <col min="13314" max="13314" width="11" customWidth="1"/>
    <col min="13315" max="13315" width="16.85546875" customWidth="1"/>
    <col min="13316" max="13316" width="16.7109375" customWidth="1"/>
    <col min="13317" max="13317" width="14.7109375" customWidth="1"/>
    <col min="13318" max="13318" width="4.85546875" customWidth="1"/>
    <col min="13319" max="13319" width="14.7109375" customWidth="1"/>
    <col min="13320" max="13320" width="18.28515625" customWidth="1"/>
    <col min="13321" max="13321" width="15.5703125" customWidth="1"/>
    <col min="13322" max="13322" width="6.140625" customWidth="1"/>
    <col min="13323" max="13323" width="14.7109375" customWidth="1"/>
    <col min="13324" max="13324" width="16.140625" customWidth="1"/>
    <col min="13325" max="13325" width="14.7109375" customWidth="1"/>
    <col min="13326" max="13326" width="4.85546875" customWidth="1"/>
    <col min="13327" max="13327" width="18.5703125" customWidth="1"/>
    <col min="13569" max="13569" width="33.140625" customWidth="1"/>
    <col min="13570" max="13570" width="11" customWidth="1"/>
    <col min="13571" max="13571" width="16.85546875" customWidth="1"/>
    <col min="13572" max="13572" width="16.7109375" customWidth="1"/>
    <col min="13573" max="13573" width="14.7109375" customWidth="1"/>
    <col min="13574" max="13574" width="4.85546875" customWidth="1"/>
    <col min="13575" max="13575" width="14.7109375" customWidth="1"/>
    <col min="13576" max="13576" width="18.28515625" customWidth="1"/>
    <col min="13577" max="13577" width="15.5703125" customWidth="1"/>
    <col min="13578" max="13578" width="6.140625" customWidth="1"/>
    <col min="13579" max="13579" width="14.7109375" customWidth="1"/>
    <col min="13580" max="13580" width="16.140625" customWidth="1"/>
    <col min="13581" max="13581" width="14.7109375" customWidth="1"/>
    <col min="13582" max="13582" width="4.85546875" customWidth="1"/>
    <col min="13583" max="13583" width="18.5703125" customWidth="1"/>
    <col min="13825" max="13825" width="33.140625" customWidth="1"/>
    <col min="13826" max="13826" width="11" customWidth="1"/>
    <col min="13827" max="13827" width="16.85546875" customWidth="1"/>
    <col min="13828" max="13828" width="16.7109375" customWidth="1"/>
    <col min="13829" max="13829" width="14.7109375" customWidth="1"/>
    <col min="13830" max="13830" width="4.85546875" customWidth="1"/>
    <col min="13831" max="13831" width="14.7109375" customWidth="1"/>
    <col min="13832" max="13832" width="18.28515625" customWidth="1"/>
    <col min="13833" max="13833" width="15.5703125" customWidth="1"/>
    <col min="13834" max="13834" width="6.140625" customWidth="1"/>
    <col min="13835" max="13835" width="14.7109375" customWidth="1"/>
    <col min="13836" max="13836" width="16.140625" customWidth="1"/>
    <col min="13837" max="13837" width="14.7109375" customWidth="1"/>
    <col min="13838" max="13838" width="4.85546875" customWidth="1"/>
    <col min="13839" max="13839" width="18.5703125" customWidth="1"/>
    <col min="14081" max="14081" width="33.140625" customWidth="1"/>
    <col min="14082" max="14082" width="11" customWidth="1"/>
    <col min="14083" max="14083" width="16.85546875" customWidth="1"/>
    <col min="14084" max="14084" width="16.7109375" customWidth="1"/>
    <col min="14085" max="14085" width="14.7109375" customWidth="1"/>
    <col min="14086" max="14086" width="4.85546875" customWidth="1"/>
    <col min="14087" max="14087" width="14.7109375" customWidth="1"/>
    <col min="14088" max="14088" width="18.28515625" customWidth="1"/>
    <col min="14089" max="14089" width="15.5703125" customWidth="1"/>
    <col min="14090" max="14090" width="6.140625" customWidth="1"/>
    <col min="14091" max="14091" width="14.7109375" customWidth="1"/>
    <col min="14092" max="14092" width="16.140625" customWidth="1"/>
    <col min="14093" max="14093" width="14.7109375" customWidth="1"/>
    <col min="14094" max="14094" width="4.85546875" customWidth="1"/>
    <col min="14095" max="14095" width="18.5703125" customWidth="1"/>
    <col min="14337" max="14337" width="33.140625" customWidth="1"/>
    <col min="14338" max="14338" width="11" customWidth="1"/>
    <col min="14339" max="14339" width="16.85546875" customWidth="1"/>
    <col min="14340" max="14340" width="16.7109375" customWidth="1"/>
    <col min="14341" max="14341" width="14.7109375" customWidth="1"/>
    <col min="14342" max="14342" width="4.85546875" customWidth="1"/>
    <col min="14343" max="14343" width="14.7109375" customWidth="1"/>
    <col min="14344" max="14344" width="18.28515625" customWidth="1"/>
    <col min="14345" max="14345" width="15.5703125" customWidth="1"/>
    <col min="14346" max="14346" width="6.140625" customWidth="1"/>
    <col min="14347" max="14347" width="14.7109375" customWidth="1"/>
    <col min="14348" max="14348" width="16.140625" customWidth="1"/>
    <col min="14349" max="14349" width="14.7109375" customWidth="1"/>
    <col min="14350" max="14350" width="4.85546875" customWidth="1"/>
    <col min="14351" max="14351" width="18.5703125" customWidth="1"/>
    <col min="14593" max="14593" width="33.140625" customWidth="1"/>
    <col min="14594" max="14594" width="11" customWidth="1"/>
    <col min="14595" max="14595" width="16.85546875" customWidth="1"/>
    <col min="14596" max="14596" width="16.7109375" customWidth="1"/>
    <col min="14597" max="14597" width="14.7109375" customWidth="1"/>
    <col min="14598" max="14598" width="4.85546875" customWidth="1"/>
    <col min="14599" max="14599" width="14.7109375" customWidth="1"/>
    <col min="14600" max="14600" width="18.28515625" customWidth="1"/>
    <col min="14601" max="14601" width="15.5703125" customWidth="1"/>
    <col min="14602" max="14602" width="6.140625" customWidth="1"/>
    <col min="14603" max="14603" width="14.7109375" customWidth="1"/>
    <col min="14604" max="14604" width="16.140625" customWidth="1"/>
    <col min="14605" max="14605" width="14.7109375" customWidth="1"/>
    <col min="14606" max="14606" width="4.85546875" customWidth="1"/>
    <col min="14607" max="14607" width="18.5703125" customWidth="1"/>
    <col min="14849" max="14849" width="33.140625" customWidth="1"/>
    <col min="14850" max="14850" width="11" customWidth="1"/>
    <col min="14851" max="14851" width="16.85546875" customWidth="1"/>
    <col min="14852" max="14852" width="16.7109375" customWidth="1"/>
    <col min="14853" max="14853" width="14.7109375" customWidth="1"/>
    <col min="14854" max="14854" width="4.85546875" customWidth="1"/>
    <col min="14855" max="14855" width="14.7109375" customWidth="1"/>
    <col min="14856" max="14856" width="18.28515625" customWidth="1"/>
    <col min="14857" max="14857" width="15.5703125" customWidth="1"/>
    <col min="14858" max="14858" width="6.140625" customWidth="1"/>
    <col min="14859" max="14859" width="14.7109375" customWidth="1"/>
    <col min="14860" max="14860" width="16.140625" customWidth="1"/>
    <col min="14861" max="14861" width="14.7109375" customWidth="1"/>
    <col min="14862" max="14862" width="4.85546875" customWidth="1"/>
    <col min="14863" max="14863" width="18.5703125" customWidth="1"/>
    <col min="15105" max="15105" width="33.140625" customWidth="1"/>
    <col min="15106" max="15106" width="11" customWidth="1"/>
    <col min="15107" max="15107" width="16.85546875" customWidth="1"/>
    <col min="15108" max="15108" width="16.7109375" customWidth="1"/>
    <col min="15109" max="15109" width="14.7109375" customWidth="1"/>
    <col min="15110" max="15110" width="4.85546875" customWidth="1"/>
    <col min="15111" max="15111" width="14.7109375" customWidth="1"/>
    <col min="15112" max="15112" width="18.28515625" customWidth="1"/>
    <col min="15113" max="15113" width="15.5703125" customWidth="1"/>
    <col min="15114" max="15114" width="6.140625" customWidth="1"/>
    <col min="15115" max="15115" width="14.7109375" customWidth="1"/>
    <col min="15116" max="15116" width="16.140625" customWidth="1"/>
    <col min="15117" max="15117" width="14.7109375" customWidth="1"/>
    <col min="15118" max="15118" width="4.85546875" customWidth="1"/>
    <col min="15119" max="15119" width="18.5703125" customWidth="1"/>
    <col min="15361" max="15361" width="33.140625" customWidth="1"/>
    <col min="15362" max="15362" width="11" customWidth="1"/>
    <col min="15363" max="15363" width="16.85546875" customWidth="1"/>
    <col min="15364" max="15364" width="16.7109375" customWidth="1"/>
    <col min="15365" max="15365" width="14.7109375" customWidth="1"/>
    <col min="15366" max="15366" width="4.85546875" customWidth="1"/>
    <col min="15367" max="15367" width="14.7109375" customWidth="1"/>
    <col min="15368" max="15368" width="18.28515625" customWidth="1"/>
    <col min="15369" max="15369" width="15.5703125" customWidth="1"/>
    <col min="15370" max="15370" width="6.140625" customWidth="1"/>
    <col min="15371" max="15371" width="14.7109375" customWidth="1"/>
    <col min="15372" max="15372" width="16.140625" customWidth="1"/>
    <col min="15373" max="15373" width="14.7109375" customWidth="1"/>
    <col min="15374" max="15374" width="4.85546875" customWidth="1"/>
    <col min="15375" max="15375" width="18.5703125" customWidth="1"/>
    <col min="15617" max="15617" width="33.140625" customWidth="1"/>
    <col min="15618" max="15618" width="11" customWidth="1"/>
    <col min="15619" max="15619" width="16.85546875" customWidth="1"/>
    <col min="15620" max="15620" width="16.7109375" customWidth="1"/>
    <col min="15621" max="15621" width="14.7109375" customWidth="1"/>
    <col min="15622" max="15622" width="4.85546875" customWidth="1"/>
    <col min="15623" max="15623" width="14.7109375" customWidth="1"/>
    <col min="15624" max="15624" width="18.28515625" customWidth="1"/>
    <col min="15625" max="15625" width="15.5703125" customWidth="1"/>
    <col min="15626" max="15626" width="6.140625" customWidth="1"/>
    <col min="15627" max="15627" width="14.7109375" customWidth="1"/>
    <col min="15628" max="15628" width="16.140625" customWidth="1"/>
    <col min="15629" max="15629" width="14.7109375" customWidth="1"/>
    <col min="15630" max="15630" width="4.85546875" customWidth="1"/>
    <col min="15631" max="15631" width="18.5703125" customWidth="1"/>
    <col min="15873" max="15873" width="33.140625" customWidth="1"/>
    <col min="15874" max="15874" width="11" customWidth="1"/>
    <col min="15875" max="15875" width="16.85546875" customWidth="1"/>
    <col min="15876" max="15876" width="16.7109375" customWidth="1"/>
    <col min="15877" max="15877" width="14.7109375" customWidth="1"/>
    <col min="15878" max="15878" width="4.85546875" customWidth="1"/>
    <col min="15879" max="15879" width="14.7109375" customWidth="1"/>
    <col min="15880" max="15880" width="18.28515625" customWidth="1"/>
    <col min="15881" max="15881" width="15.5703125" customWidth="1"/>
    <col min="15882" max="15882" width="6.140625" customWidth="1"/>
    <col min="15883" max="15883" width="14.7109375" customWidth="1"/>
    <col min="15884" max="15884" width="16.140625" customWidth="1"/>
    <col min="15885" max="15885" width="14.7109375" customWidth="1"/>
    <col min="15886" max="15886" width="4.85546875" customWidth="1"/>
    <col min="15887" max="15887" width="18.5703125" customWidth="1"/>
    <col min="16129" max="16129" width="33.140625" customWidth="1"/>
    <col min="16130" max="16130" width="11" customWidth="1"/>
    <col min="16131" max="16131" width="16.85546875" customWidth="1"/>
    <col min="16132" max="16132" width="16.7109375" customWidth="1"/>
    <col min="16133" max="16133" width="14.7109375" customWidth="1"/>
    <col min="16134" max="16134" width="4.85546875" customWidth="1"/>
    <col min="16135" max="16135" width="14.7109375" customWidth="1"/>
    <col min="16136" max="16136" width="18.28515625" customWidth="1"/>
    <col min="16137" max="16137" width="15.5703125" customWidth="1"/>
    <col min="16138" max="16138" width="6.140625" customWidth="1"/>
    <col min="16139" max="16139" width="14.7109375" customWidth="1"/>
    <col min="16140" max="16140" width="16.140625" customWidth="1"/>
    <col min="16141" max="16141" width="14.7109375" customWidth="1"/>
    <col min="16142" max="16142" width="4.85546875" customWidth="1"/>
    <col min="16143" max="16143" width="18.5703125" customWidth="1"/>
  </cols>
  <sheetData>
    <row r="1" spans="1:19" ht="15.75">
      <c r="A1" s="669" t="s">
        <v>115</v>
      </c>
      <c r="B1" s="563"/>
      <c r="C1" s="563"/>
      <c r="D1" s="563"/>
      <c r="E1" s="563"/>
      <c r="F1" s="563"/>
      <c r="G1" s="224"/>
      <c r="H1" s="563"/>
      <c r="I1" s="563"/>
      <c r="J1" s="563"/>
      <c r="K1" s="563"/>
      <c r="L1" s="563"/>
      <c r="M1" s="563"/>
      <c r="N1" s="563"/>
      <c r="O1" s="563"/>
      <c r="P1" s="563"/>
      <c r="Q1" s="563"/>
      <c r="R1" s="563"/>
      <c r="S1" s="563"/>
    </row>
    <row r="2" spans="1:19" ht="15.75">
      <c r="A2" s="669" t="s">
        <v>115</v>
      </c>
      <c r="B2" s="563"/>
      <c r="C2" s="563"/>
      <c r="D2" s="563"/>
      <c r="E2" s="563"/>
      <c r="F2" s="563"/>
      <c r="G2" s="224"/>
      <c r="H2" s="563"/>
      <c r="I2" s="563"/>
      <c r="J2" s="563"/>
      <c r="K2" s="563"/>
      <c r="L2" s="563"/>
      <c r="M2" s="563"/>
      <c r="N2" s="563"/>
      <c r="O2" s="563"/>
      <c r="P2" s="563"/>
      <c r="Q2" s="563"/>
      <c r="R2" s="563"/>
      <c r="S2" s="563"/>
    </row>
    <row r="3" spans="1:19" ht="19.5">
      <c r="A3" s="1310" t="s">
        <v>392</v>
      </c>
      <c r="B3" s="1310"/>
      <c r="C3" s="1310"/>
      <c r="D3" s="1310"/>
      <c r="E3" s="1310"/>
      <c r="F3" s="1310"/>
      <c r="G3" s="1310"/>
      <c r="H3" s="1310"/>
      <c r="I3" s="1310"/>
      <c r="J3" s="1310"/>
      <c r="K3" s="1310"/>
      <c r="L3" s="1310"/>
      <c r="M3" s="1310"/>
      <c r="N3" s="1310"/>
      <c r="O3" s="1310"/>
      <c r="P3" s="562"/>
      <c r="Q3" s="562"/>
      <c r="R3" s="562"/>
      <c r="S3" s="562"/>
    </row>
    <row r="4" spans="1:19" ht="19.5">
      <c r="A4" s="1310" t="s">
        <v>393</v>
      </c>
      <c r="B4" s="1310"/>
      <c r="C4" s="1310"/>
      <c r="D4" s="1310"/>
      <c r="E4" s="1310"/>
      <c r="F4" s="1310"/>
      <c r="G4" s="1310"/>
      <c r="H4" s="1310"/>
      <c r="I4" s="1310"/>
      <c r="J4" s="1310"/>
      <c r="K4" s="1310"/>
      <c r="L4" s="1310"/>
      <c r="M4" s="1310"/>
      <c r="N4" s="1310"/>
      <c r="O4" s="1310"/>
      <c r="P4" s="562"/>
      <c r="Q4" s="562"/>
      <c r="R4" s="562"/>
      <c r="S4" s="562"/>
    </row>
    <row r="5" spans="1:19" ht="19.5">
      <c r="A5" s="1310" t="s">
        <v>394</v>
      </c>
      <c r="B5" s="1310"/>
      <c r="C5" s="1310"/>
      <c r="D5" s="1310"/>
      <c r="E5" s="1310"/>
      <c r="F5" s="1310"/>
      <c r="G5" s="1310"/>
      <c r="H5" s="1310"/>
      <c r="I5" s="1310"/>
      <c r="J5" s="1310"/>
      <c r="K5" s="1310"/>
      <c r="L5" s="1310"/>
      <c r="M5" s="1310"/>
      <c r="N5" s="1310"/>
      <c r="O5" s="1310"/>
      <c r="P5" s="562"/>
      <c r="Q5" s="562"/>
      <c r="R5" s="562"/>
      <c r="S5" s="562"/>
    </row>
    <row r="6" spans="1:19" ht="19.5">
      <c r="A6" s="1310" t="s">
        <v>395</v>
      </c>
      <c r="B6" s="1310"/>
      <c r="C6" s="1310"/>
      <c r="D6" s="1310"/>
      <c r="E6" s="1310"/>
      <c r="F6" s="1310"/>
      <c r="G6" s="1310"/>
      <c r="H6" s="1310"/>
      <c r="I6" s="1310"/>
      <c r="J6" s="1310"/>
      <c r="K6" s="1310"/>
      <c r="L6" s="1310"/>
      <c r="M6" s="1310"/>
      <c r="N6" s="1310"/>
      <c r="O6" s="1310"/>
      <c r="P6" s="562"/>
      <c r="Q6" s="562"/>
      <c r="R6" s="562"/>
      <c r="S6" s="562"/>
    </row>
    <row r="7" spans="1:19" ht="19.5">
      <c r="A7" s="1310" t="s">
        <v>1179</v>
      </c>
      <c r="B7" s="1310"/>
      <c r="C7" s="1310"/>
      <c r="D7" s="1310"/>
      <c r="E7" s="1310"/>
      <c r="F7" s="1310"/>
      <c r="G7" s="1310"/>
      <c r="H7" s="1310"/>
      <c r="I7" s="1310"/>
      <c r="J7" s="1310"/>
      <c r="K7" s="1310"/>
      <c r="L7" s="1310"/>
      <c r="M7" s="1310"/>
      <c r="N7" s="1310"/>
      <c r="O7" s="1310"/>
      <c r="P7" s="562"/>
      <c r="Q7" s="562"/>
      <c r="R7" s="562"/>
      <c r="S7" s="562"/>
    </row>
    <row r="8" spans="1:19" ht="19.5">
      <c r="A8" s="1310" t="s">
        <v>396</v>
      </c>
      <c r="B8" s="1310"/>
      <c r="C8" s="1310"/>
      <c r="D8" s="1310"/>
      <c r="E8" s="1310"/>
      <c r="F8" s="1310"/>
      <c r="G8" s="1310"/>
      <c r="H8" s="1310"/>
      <c r="I8" s="1310"/>
      <c r="J8" s="1310"/>
      <c r="K8" s="1310"/>
      <c r="L8" s="1310"/>
      <c r="M8" s="1310"/>
      <c r="N8" s="1310"/>
      <c r="O8" s="1310"/>
      <c r="P8" s="562"/>
      <c r="Q8" s="562"/>
      <c r="R8" s="562"/>
      <c r="S8" s="562"/>
    </row>
    <row r="9" spans="1:19" ht="19.5">
      <c r="A9" s="1314" t="s">
        <v>1089</v>
      </c>
      <c r="B9" s="1310"/>
      <c r="C9" s="1310"/>
      <c r="D9" s="1310"/>
      <c r="E9" s="1310"/>
      <c r="F9" s="1310"/>
      <c r="G9" s="1310"/>
      <c r="H9" s="1310"/>
      <c r="I9" s="1310"/>
      <c r="J9" s="1310"/>
      <c r="K9" s="1310"/>
      <c r="L9" s="1310"/>
      <c r="M9" s="1310"/>
      <c r="N9" s="1310"/>
      <c r="O9" s="1310"/>
      <c r="P9" s="562"/>
      <c r="Q9" s="562"/>
      <c r="R9" s="562"/>
      <c r="S9" s="562"/>
    </row>
    <row r="10" spans="1:19" ht="19.5">
      <c r="A10" s="1315"/>
      <c r="B10" s="1315"/>
      <c r="C10" s="1315"/>
      <c r="D10" s="1315"/>
      <c r="E10" s="1315"/>
      <c r="F10" s="1315"/>
      <c r="G10" s="1315"/>
      <c r="H10" s="1315"/>
      <c r="I10" s="1315"/>
      <c r="J10" s="1315"/>
      <c r="K10" s="1315"/>
      <c r="L10" s="1315"/>
      <c r="M10" s="1315"/>
      <c r="N10" s="1315"/>
      <c r="O10" s="1315"/>
      <c r="P10" s="564"/>
      <c r="Q10" s="564"/>
      <c r="R10" s="564"/>
      <c r="S10" s="564"/>
    </row>
    <row r="11" spans="1:19" ht="15">
      <c r="A11" s="563"/>
      <c r="B11" s="563"/>
      <c r="C11" s="563"/>
      <c r="D11" s="563"/>
      <c r="E11" s="563"/>
      <c r="F11" s="563"/>
      <c r="G11" s="224"/>
      <c r="H11" s="563"/>
      <c r="I11" s="563"/>
      <c r="J11" s="563"/>
      <c r="K11" s="563"/>
      <c r="L11" s="563"/>
      <c r="M11" s="563"/>
      <c r="N11" s="563"/>
      <c r="O11" s="563"/>
      <c r="P11" s="563"/>
      <c r="Q11" s="563"/>
      <c r="R11" s="563"/>
      <c r="S11" s="563"/>
    </row>
    <row r="12" spans="1:19" ht="16.5" thickBot="1">
      <c r="A12" s="565"/>
      <c r="B12" s="565"/>
      <c r="C12" s="1316" t="s">
        <v>598</v>
      </c>
      <c r="D12" s="1316"/>
      <c r="E12" s="1316"/>
      <c r="F12" s="565"/>
      <c r="G12" s="1316" t="s">
        <v>599</v>
      </c>
      <c r="H12" s="1316"/>
      <c r="I12" s="1316"/>
      <c r="J12" s="565"/>
      <c r="K12" s="1316" t="s">
        <v>397</v>
      </c>
      <c r="L12" s="1316"/>
      <c r="M12" s="1316"/>
      <c r="N12" s="565"/>
      <c r="O12" s="1316" t="s">
        <v>600</v>
      </c>
      <c r="P12" s="1316"/>
      <c r="Q12" s="1316"/>
      <c r="R12" s="565"/>
      <c r="S12" s="1008" t="s">
        <v>398</v>
      </c>
    </row>
    <row r="13" spans="1:19" ht="15">
      <c r="A13" s="565"/>
      <c r="B13" s="565"/>
      <c r="C13" s="566" t="s">
        <v>122</v>
      </c>
      <c r="D13" s="567"/>
      <c r="E13" s="567"/>
      <c r="F13" s="567"/>
      <c r="G13" s="568" t="s">
        <v>123</v>
      </c>
      <c r="H13" s="569"/>
      <c r="I13" s="569"/>
      <c r="J13" s="569"/>
      <c r="K13" s="570" t="s">
        <v>124</v>
      </c>
      <c r="L13" s="569"/>
      <c r="M13" s="569"/>
      <c r="N13" s="569"/>
      <c r="O13" s="571" t="s">
        <v>125</v>
      </c>
      <c r="P13" s="569"/>
      <c r="Q13" s="569"/>
      <c r="R13" s="569"/>
      <c r="S13" s="569"/>
    </row>
    <row r="14" spans="1:19" ht="15">
      <c r="A14" s="565"/>
      <c r="B14" s="565"/>
      <c r="C14" s="566" t="s">
        <v>115</v>
      </c>
      <c r="D14" s="567"/>
      <c r="E14" s="566" t="s">
        <v>399</v>
      </c>
      <c r="F14" s="567"/>
      <c r="G14" s="568" t="s">
        <v>601</v>
      </c>
      <c r="H14" s="567"/>
      <c r="I14" s="566" t="s">
        <v>399</v>
      </c>
      <c r="J14" s="567"/>
      <c r="K14" s="563"/>
      <c r="L14" s="567"/>
      <c r="M14" s="566" t="s">
        <v>399</v>
      </c>
      <c r="N14" s="567"/>
      <c r="O14" s="563"/>
      <c r="P14" s="567"/>
      <c r="Q14" s="566" t="s">
        <v>399</v>
      </c>
      <c r="R14" s="567"/>
      <c r="S14" s="566" t="s">
        <v>399</v>
      </c>
    </row>
    <row r="15" spans="1:19" ht="15">
      <c r="A15" s="565"/>
      <c r="B15" s="566" t="s">
        <v>400</v>
      </c>
      <c r="C15" s="566" t="s">
        <v>602</v>
      </c>
      <c r="D15" s="566" t="s">
        <v>401</v>
      </c>
      <c r="E15" s="566" t="s">
        <v>402</v>
      </c>
      <c r="F15" s="567"/>
      <c r="G15" s="568" t="s">
        <v>403</v>
      </c>
      <c r="H15" s="566" t="s">
        <v>401</v>
      </c>
      <c r="I15" s="566" t="s">
        <v>402</v>
      </c>
      <c r="J15" s="567"/>
      <c r="K15" s="566" t="s">
        <v>81</v>
      </c>
      <c r="L15" s="566" t="s">
        <v>401</v>
      </c>
      <c r="M15" s="566" t="s">
        <v>402</v>
      </c>
      <c r="N15" s="567"/>
      <c r="O15" s="566" t="s">
        <v>81</v>
      </c>
      <c r="P15" s="566" t="s">
        <v>401</v>
      </c>
      <c r="Q15" s="566" t="s">
        <v>402</v>
      </c>
      <c r="R15" s="567"/>
      <c r="S15" s="566" t="s">
        <v>402</v>
      </c>
    </row>
    <row r="16" spans="1:19" ht="15">
      <c r="A16" s="566"/>
      <c r="B16" s="566" t="s">
        <v>404</v>
      </c>
      <c r="C16" s="566" t="s">
        <v>405</v>
      </c>
      <c r="D16" s="566" t="s">
        <v>603</v>
      </c>
      <c r="E16" s="566" t="s">
        <v>406</v>
      </c>
      <c r="F16" s="567"/>
      <c r="G16" s="568" t="s">
        <v>405</v>
      </c>
      <c r="H16" s="566" t="s">
        <v>603</v>
      </c>
      <c r="I16" s="566" t="s">
        <v>406</v>
      </c>
      <c r="J16" s="567"/>
      <c r="K16" s="566" t="s">
        <v>405</v>
      </c>
      <c r="L16" s="566" t="s">
        <v>603</v>
      </c>
      <c r="M16" s="566" t="s">
        <v>406</v>
      </c>
      <c r="N16" s="567"/>
      <c r="O16" s="566" t="s">
        <v>405</v>
      </c>
      <c r="P16" s="566" t="s">
        <v>603</v>
      </c>
      <c r="Q16" s="566" t="s">
        <v>406</v>
      </c>
      <c r="R16" s="567"/>
      <c r="S16" s="566" t="s">
        <v>406</v>
      </c>
    </row>
    <row r="17" spans="1:19" ht="15">
      <c r="A17" s="563"/>
      <c r="B17" s="563"/>
      <c r="C17" s="563"/>
      <c r="D17" s="563"/>
      <c r="E17" s="563"/>
      <c r="F17" s="563"/>
      <c r="G17" s="224"/>
      <c r="H17" s="563"/>
      <c r="I17" s="563"/>
      <c r="J17" s="563"/>
      <c r="K17" s="563"/>
      <c r="L17" s="563"/>
      <c r="M17" s="563"/>
      <c r="N17" s="563"/>
      <c r="O17" s="563"/>
      <c r="P17" s="563"/>
      <c r="Q17" s="563"/>
      <c r="R17" s="563"/>
      <c r="S17" s="563"/>
    </row>
    <row r="18" spans="1:19" ht="15.75" thickBot="1">
      <c r="A18" s="572"/>
      <c r="B18" s="565"/>
      <c r="C18" s="218"/>
      <c r="D18" s="565"/>
      <c r="E18" s="565"/>
      <c r="F18" s="565"/>
      <c r="G18" s="218"/>
      <c r="H18" s="565"/>
      <c r="I18" s="565"/>
      <c r="J18" s="565"/>
      <c r="K18" s="218"/>
      <c r="L18" s="565"/>
      <c r="M18" s="565"/>
      <c r="N18" s="565"/>
      <c r="O18" s="218"/>
      <c r="P18" s="565"/>
      <c r="Q18" s="565"/>
      <c r="R18" s="565"/>
      <c r="S18" s="565"/>
    </row>
    <row r="19" spans="1:19" ht="15">
      <c r="A19" s="573" t="s">
        <v>407</v>
      </c>
      <c r="B19" s="574"/>
      <c r="C19" s="219"/>
      <c r="D19" s="220"/>
      <c r="E19" s="221"/>
      <c r="F19" s="574"/>
      <c r="G19" s="219"/>
      <c r="H19" s="222"/>
      <c r="I19" s="221"/>
      <c r="J19" s="574"/>
      <c r="K19" s="574"/>
      <c r="L19" s="222"/>
      <c r="M19" s="221"/>
      <c r="N19" s="574"/>
      <c r="O19" s="574"/>
      <c r="P19" s="220"/>
      <c r="Q19" s="221"/>
      <c r="R19" s="574"/>
      <c r="S19" s="221"/>
    </row>
    <row r="20" spans="1:19" ht="15">
      <c r="A20" s="1138" t="s">
        <v>604</v>
      </c>
      <c r="B20" s="223">
        <v>350.1</v>
      </c>
      <c r="C20" s="218">
        <v>6.5839999999999996E-3</v>
      </c>
      <c r="D20" s="1139">
        <v>1</v>
      </c>
      <c r="E20" s="218">
        <v>6.6E-3</v>
      </c>
      <c r="F20" s="565"/>
      <c r="G20" s="218"/>
      <c r="H20" s="225"/>
      <c r="I20" s="224"/>
      <c r="J20" s="565"/>
      <c r="K20" s="218"/>
      <c r="L20" s="225"/>
      <c r="M20" s="224"/>
      <c r="N20" s="565"/>
      <c r="O20" s="218"/>
      <c r="P20" s="1139"/>
      <c r="Q20" s="224"/>
      <c r="R20" s="565"/>
      <c r="S20" s="218">
        <v>6.6E-3</v>
      </c>
    </row>
    <row r="21" spans="1:19" ht="15">
      <c r="A21" s="1138" t="s">
        <v>605</v>
      </c>
      <c r="B21" s="223">
        <v>351</v>
      </c>
      <c r="C21" s="218"/>
      <c r="D21" s="1139"/>
      <c r="E21" s="218"/>
      <c r="F21" s="565"/>
      <c r="G21" s="218">
        <v>0.14219999999999999</v>
      </c>
      <c r="H21" s="225">
        <v>1</v>
      </c>
      <c r="I21" s="218">
        <v>0.14219999999999999</v>
      </c>
      <c r="J21" s="565"/>
      <c r="K21" s="218"/>
      <c r="L21" s="225"/>
      <c r="M21" s="224"/>
      <c r="N21" s="565"/>
      <c r="O21" s="218"/>
      <c r="P21" s="1139"/>
      <c r="Q21" s="224"/>
      <c r="R21" s="565"/>
      <c r="S21" s="218">
        <v>0.14219999999999999</v>
      </c>
    </row>
    <row r="22" spans="1:19" ht="15">
      <c r="A22" s="563" t="s">
        <v>408</v>
      </c>
      <c r="B22" s="223">
        <v>352</v>
      </c>
      <c r="C22" s="218">
        <v>2.2200000000000001E-2</v>
      </c>
      <c r="D22" s="225">
        <v>0.51122100000000004</v>
      </c>
      <c r="E22" s="218">
        <v>1.1299999999999999E-2</v>
      </c>
      <c r="F22" s="565"/>
      <c r="G22" s="218">
        <v>1.6199999999999999E-2</v>
      </c>
      <c r="H22" s="225">
        <v>0.39937400000000001</v>
      </c>
      <c r="I22" s="218">
        <v>6.4999999999999997E-3</v>
      </c>
      <c r="J22" s="565"/>
      <c r="K22" s="218">
        <v>2.1899999999999999E-2</v>
      </c>
      <c r="L22" s="225">
        <v>3.3013000000000001E-2</v>
      </c>
      <c r="M22" s="218">
        <v>6.9999999999999999E-4</v>
      </c>
      <c r="N22" s="565"/>
      <c r="O22" s="218">
        <v>2.1899999999999999E-2</v>
      </c>
      <c r="P22" s="225">
        <v>5.6391999999999998E-2</v>
      </c>
      <c r="Q22" s="218">
        <v>1.1999999999999999E-3</v>
      </c>
      <c r="R22" s="565"/>
      <c r="S22" s="218">
        <v>1.9699999999999999E-2</v>
      </c>
    </row>
    <row r="23" spans="1:19" ht="15">
      <c r="A23" s="563" t="s">
        <v>409</v>
      </c>
      <c r="B23" s="223">
        <v>353</v>
      </c>
      <c r="C23" s="218">
        <v>2.75E-2</v>
      </c>
      <c r="D23" s="225">
        <v>0.51122100000000004</v>
      </c>
      <c r="E23" s="218">
        <v>1.41E-2</v>
      </c>
      <c r="F23" s="565"/>
      <c r="G23" s="218">
        <v>2.3699999999999999E-2</v>
      </c>
      <c r="H23" s="225">
        <v>0.39937400000000001</v>
      </c>
      <c r="I23" s="218">
        <v>9.4999999999999998E-3</v>
      </c>
      <c r="J23" s="565"/>
      <c r="K23" s="218">
        <v>2.1899999999999999E-2</v>
      </c>
      <c r="L23" s="225">
        <v>3.3013000000000001E-2</v>
      </c>
      <c r="M23" s="218">
        <v>6.9999999999999999E-4</v>
      </c>
      <c r="N23" s="565"/>
      <c r="O23" s="218">
        <v>2.1899999999999999E-2</v>
      </c>
      <c r="P23" s="225">
        <v>5.6391999999999998E-2</v>
      </c>
      <c r="Q23" s="218">
        <v>1.1999999999999999E-3</v>
      </c>
      <c r="R23" s="565"/>
      <c r="S23" s="218">
        <v>2.5499999999999998E-2</v>
      </c>
    </row>
    <row r="24" spans="1:19" ht="15">
      <c r="A24" s="563" t="s">
        <v>410</v>
      </c>
      <c r="B24" s="223">
        <v>354</v>
      </c>
      <c r="C24" s="218">
        <v>1.6299999999999999E-2</v>
      </c>
      <c r="D24" s="225">
        <v>0.51122100000000004</v>
      </c>
      <c r="E24" s="218">
        <v>8.3000000000000001E-3</v>
      </c>
      <c r="F24" s="565"/>
      <c r="G24" s="218">
        <v>1.5900000000000001E-2</v>
      </c>
      <c r="H24" s="225">
        <v>0.39937400000000001</v>
      </c>
      <c r="I24" s="218">
        <v>6.4000000000000003E-3</v>
      </c>
      <c r="J24" s="565"/>
      <c r="K24" s="218">
        <v>2.1899999999999999E-2</v>
      </c>
      <c r="L24" s="225">
        <v>3.3013000000000001E-2</v>
      </c>
      <c r="M24" s="218">
        <v>6.9999999999999999E-4</v>
      </c>
      <c r="N24" s="565"/>
      <c r="O24" s="218">
        <v>2.1899999999999999E-2</v>
      </c>
      <c r="P24" s="225">
        <v>5.6391999999999998E-2</v>
      </c>
      <c r="Q24" s="218">
        <v>1.1999999999999999E-3</v>
      </c>
      <c r="R24" s="565"/>
      <c r="S24" s="218">
        <v>1.66E-2</v>
      </c>
    </row>
    <row r="25" spans="1:19" ht="15">
      <c r="A25" s="563" t="s">
        <v>411</v>
      </c>
      <c r="B25" s="223">
        <v>355</v>
      </c>
      <c r="C25" s="218">
        <v>3.7199999999999997E-2</v>
      </c>
      <c r="D25" s="225">
        <v>0.51122100000000004</v>
      </c>
      <c r="E25" s="218">
        <v>1.9E-2</v>
      </c>
      <c r="F25" s="565"/>
      <c r="G25" s="218">
        <v>2.7099999999999999E-2</v>
      </c>
      <c r="H25" s="225">
        <v>0.39937400000000001</v>
      </c>
      <c r="I25" s="218">
        <v>1.0800000000000001E-2</v>
      </c>
      <c r="J25" s="565"/>
      <c r="K25" s="218">
        <v>2.1899999999999999E-2</v>
      </c>
      <c r="L25" s="225">
        <v>3.3013000000000001E-2</v>
      </c>
      <c r="M25" s="218">
        <v>6.9999999999999999E-4</v>
      </c>
      <c r="N25" s="565"/>
      <c r="O25" s="218">
        <v>2.1899999999999999E-2</v>
      </c>
      <c r="P25" s="225">
        <v>5.6391999999999998E-2</v>
      </c>
      <c r="Q25" s="218">
        <v>1.1999999999999999E-3</v>
      </c>
      <c r="R25" s="565"/>
      <c r="S25" s="218">
        <v>3.1699999999999999E-2</v>
      </c>
    </row>
    <row r="26" spans="1:19" ht="15">
      <c r="A26" s="563" t="s">
        <v>606</v>
      </c>
      <c r="B26" s="223">
        <v>356</v>
      </c>
      <c r="C26" s="218">
        <v>1.9900000000000001E-2</v>
      </c>
      <c r="D26" s="225">
        <v>0.51122100000000004</v>
      </c>
      <c r="E26" s="218">
        <v>1.0200000000000001E-2</v>
      </c>
      <c r="F26" s="565"/>
      <c r="G26" s="218">
        <v>1.5299999999999999E-2</v>
      </c>
      <c r="H26" s="225">
        <v>0.39937400000000001</v>
      </c>
      <c r="I26" s="218">
        <v>6.1000000000000004E-3</v>
      </c>
      <c r="J26" s="565"/>
      <c r="K26" s="218">
        <v>2.1899999999999999E-2</v>
      </c>
      <c r="L26" s="225">
        <v>3.3013000000000001E-2</v>
      </c>
      <c r="M26" s="218">
        <v>6.9999999999999999E-4</v>
      </c>
      <c r="N26" s="565"/>
      <c r="O26" s="218">
        <v>2.1899999999999999E-2</v>
      </c>
      <c r="P26" s="225">
        <v>5.6391999999999998E-2</v>
      </c>
      <c r="Q26" s="218">
        <v>1.1999999999999999E-3</v>
      </c>
      <c r="R26" s="565"/>
      <c r="S26" s="218">
        <v>1.8200000000000001E-2</v>
      </c>
    </row>
    <row r="27" spans="1:19" ht="15">
      <c r="A27" s="563" t="s">
        <v>412</v>
      </c>
      <c r="B27" s="223">
        <v>357</v>
      </c>
      <c r="C27" s="218">
        <v>2.4E-2</v>
      </c>
      <c r="D27" s="225">
        <v>0.51122100000000004</v>
      </c>
      <c r="E27" s="218">
        <v>1.23E-2</v>
      </c>
      <c r="F27" s="565"/>
      <c r="G27" s="218">
        <v>3.7100000000000001E-2</v>
      </c>
      <c r="H27" s="225">
        <v>0.39937400000000001</v>
      </c>
      <c r="I27" s="218">
        <v>1.4800000000000001E-2</v>
      </c>
      <c r="J27" s="565"/>
      <c r="K27" s="218">
        <v>2.1899999999999999E-2</v>
      </c>
      <c r="L27" s="225">
        <v>3.3013000000000001E-2</v>
      </c>
      <c r="M27" s="218">
        <v>6.9999999999999999E-4</v>
      </c>
      <c r="N27" s="565"/>
      <c r="O27" s="218">
        <v>2.1899999999999999E-2</v>
      </c>
      <c r="P27" s="225">
        <v>5.6391999999999998E-2</v>
      </c>
      <c r="Q27" s="218">
        <v>1.1999999999999999E-3</v>
      </c>
      <c r="R27" s="565"/>
      <c r="S27" s="218">
        <v>2.9000000000000001E-2</v>
      </c>
    </row>
    <row r="28" spans="1:19" ht="15">
      <c r="A28" s="563" t="s">
        <v>413</v>
      </c>
      <c r="B28" s="223">
        <v>358</v>
      </c>
      <c r="C28" s="218">
        <v>4.6399999999999997E-2</v>
      </c>
      <c r="D28" s="225">
        <v>0.51122100000000004</v>
      </c>
      <c r="E28" s="218">
        <v>2.3699999999999999E-2</v>
      </c>
      <c r="F28" s="565"/>
      <c r="G28" s="218">
        <v>5.2400000000000002E-2</v>
      </c>
      <c r="H28" s="225">
        <v>0.39937400000000001</v>
      </c>
      <c r="I28" s="218">
        <v>2.0899999999999998E-2</v>
      </c>
      <c r="J28" s="565"/>
      <c r="K28" s="218">
        <v>2.1899999999999999E-2</v>
      </c>
      <c r="L28" s="225">
        <v>3.3013000000000001E-2</v>
      </c>
      <c r="M28" s="218">
        <v>6.9999999999999999E-4</v>
      </c>
      <c r="N28" s="565"/>
      <c r="O28" s="218">
        <v>2.1899999999999999E-2</v>
      </c>
      <c r="P28" s="225">
        <v>5.6391999999999998E-2</v>
      </c>
      <c r="Q28" s="218">
        <v>1.1999999999999999E-3</v>
      </c>
      <c r="R28" s="565"/>
      <c r="S28" s="218">
        <v>4.65E-2</v>
      </c>
    </row>
    <row r="29" spans="1:19" ht="15.75" thickBot="1">
      <c r="A29" s="563"/>
      <c r="B29" s="565"/>
      <c r="C29" s="218"/>
      <c r="D29" s="1139"/>
      <c r="E29" s="224"/>
      <c r="F29" s="565"/>
      <c r="G29" s="218"/>
      <c r="H29" s="1139"/>
      <c r="I29" s="224"/>
      <c r="J29" s="565"/>
      <c r="K29" s="218"/>
      <c r="L29" s="1139"/>
      <c r="M29" s="224"/>
      <c r="N29" s="565"/>
      <c r="O29" s="218"/>
      <c r="P29" s="1139"/>
      <c r="Q29" s="218"/>
      <c r="R29" s="565"/>
      <c r="S29" s="218"/>
    </row>
    <row r="30" spans="1:19" ht="15">
      <c r="A30" s="1009" t="s">
        <v>982</v>
      </c>
      <c r="B30" s="1010"/>
      <c r="C30" s="1140"/>
      <c r="D30" s="1011"/>
      <c r="E30" s="1012"/>
      <c r="F30" s="1010"/>
      <c r="G30" s="1140"/>
      <c r="H30" s="1011"/>
      <c r="I30" s="1012"/>
      <c r="J30" s="1010"/>
      <c r="K30" s="1010"/>
      <c r="L30" s="1011"/>
      <c r="M30" s="1012"/>
      <c r="N30" s="1010"/>
      <c r="O30" s="1010"/>
      <c r="P30" s="1011"/>
      <c r="Q30" s="1012"/>
      <c r="R30" s="1010"/>
      <c r="S30" s="1013"/>
    </row>
    <row r="31" spans="1:19" ht="15">
      <c r="A31" s="1138" t="s">
        <v>802</v>
      </c>
      <c r="B31" s="223">
        <v>390</v>
      </c>
      <c r="C31" s="218">
        <v>2.06E-2</v>
      </c>
      <c r="D31" s="1139">
        <v>0.523756</v>
      </c>
      <c r="E31" s="218">
        <v>1.0800000000000001E-2</v>
      </c>
      <c r="F31" s="565"/>
      <c r="G31" s="218">
        <v>1.9099999999999999E-2</v>
      </c>
      <c r="H31" s="225">
        <v>0.42593999999999999</v>
      </c>
      <c r="I31" s="218">
        <v>8.0999999999999996E-3</v>
      </c>
      <c r="J31" s="565"/>
      <c r="K31" s="218">
        <v>3.4300000000000004E-2</v>
      </c>
      <c r="L31" s="225">
        <v>1.9295E-2</v>
      </c>
      <c r="M31" s="218">
        <v>6.9999999999999999E-4</v>
      </c>
      <c r="N31" s="565"/>
      <c r="O31" s="218">
        <v>3.4300000000000004E-2</v>
      </c>
      <c r="P31" s="1139">
        <v>3.1008999999999998E-2</v>
      </c>
      <c r="Q31" s="218">
        <v>1.1000000000000001E-3</v>
      </c>
      <c r="R31" s="565"/>
      <c r="S31" s="218">
        <v>2.07E-2</v>
      </c>
    </row>
    <row r="32" spans="1:19" ht="15">
      <c r="A32" s="1138" t="s">
        <v>803</v>
      </c>
      <c r="B32" s="223">
        <v>391</v>
      </c>
      <c r="C32" s="218">
        <v>3.2500000000000001E-2</v>
      </c>
      <c r="D32" s="1139">
        <v>0.523756</v>
      </c>
      <c r="E32" s="218">
        <v>1.7000000000000001E-2</v>
      </c>
      <c r="F32" s="565"/>
      <c r="G32" s="218">
        <v>3.1699999999999999E-2</v>
      </c>
      <c r="H32" s="225">
        <v>0.42593999999999999</v>
      </c>
      <c r="I32" s="218">
        <v>1.35E-2</v>
      </c>
      <c r="J32" s="565"/>
      <c r="K32" s="218">
        <v>3.4300000000000004E-2</v>
      </c>
      <c r="L32" s="225">
        <v>1.9295E-2</v>
      </c>
      <c r="M32" s="218">
        <v>6.9999999999999999E-4</v>
      </c>
      <c r="N32" s="565"/>
      <c r="O32" s="218">
        <v>3.4300000000000004E-2</v>
      </c>
      <c r="P32" s="1139">
        <v>3.1008999999999998E-2</v>
      </c>
      <c r="Q32" s="218">
        <v>1.1000000000000001E-3</v>
      </c>
      <c r="R32" s="565"/>
      <c r="S32" s="218">
        <v>3.2300000000000002E-2</v>
      </c>
    </row>
    <row r="33" spans="1:19" ht="15">
      <c r="A33" s="1138" t="s">
        <v>983</v>
      </c>
      <c r="B33" s="223">
        <v>392</v>
      </c>
      <c r="C33" s="218">
        <v>3.4500000000000003E-2</v>
      </c>
      <c r="D33" s="225">
        <v>0.523756</v>
      </c>
      <c r="E33" s="218">
        <v>1.8100000000000002E-2</v>
      </c>
      <c r="F33" s="565"/>
      <c r="G33" s="218">
        <v>3.4000000000000002E-2</v>
      </c>
      <c r="H33" s="225">
        <v>0.42593999999999999</v>
      </c>
      <c r="I33" s="218">
        <v>1.4500000000000001E-2</v>
      </c>
      <c r="J33" s="565"/>
      <c r="K33" s="218">
        <v>3.4300000000000004E-2</v>
      </c>
      <c r="L33" s="225">
        <v>1.9295E-2</v>
      </c>
      <c r="M33" s="218">
        <v>6.9999999999999999E-4</v>
      </c>
      <c r="N33" s="565"/>
      <c r="O33" s="218">
        <v>3.4300000000000004E-2</v>
      </c>
      <c r="P33" s="225">
        <v>3.1008999999999998E-2</v>
      </c>
      <c r="Q33" s="218">
        <v>1.1000000000000001E-3</v>
      </c>
      <c r="R33" s="565"/>
      <c r="S33" s="218">
        <v>3.44E-2</v>
      </c>
    </row>
    <row r="34" spans="1:19" ht="15">
      <c r="A34" s="1138" t="s">
        <v>804</v>
      </c>
      <c r="B34" s="223">
        <v>393</v>
      </c>
      <c r="C34" s="218">
        <v>1.78E-2</v>
      </c>
      <c r="D34" s="225">
        <v>0.523756</v>
      </c>
      <c r="E34" s="218">
        <v>9.2999999999999992E-3</v>
      </c>
      <c r="F34" s="565"/>
      <c r="G34" s="218">
        <v>1.7999999999999999E-2</v>
      </c>
      <c r="H34" s="225">
        <v>0.42593999999999999</v>
      </c>
      <c r="I34" s="218">
        <v>7.7000000000000002E-3</v>
      </c>
      <c r="J34" s="565"/>
      <c r="K34" s="218">
        <v>3.4300000000000004E-2</v>
      </c>
      <c r="L34" s="225">
        <v>1.9295E-2</v>
      </c>
      <c r="M34" s="218">
        <v>6.9999999999999999E-4</v>
      </c>
      <c r="N34" s="565"/>
      <c r="O34" s="218">
        <v>3.4300000000000004E-2</v>
      </c>
      <c r="P34" s="225">
        <v>3.1008999999999998E-2</v>
      </c>
      <c r="Q34" s="218">
        <v>1.1000000000000001E-3</v>
      </c>
      <c r="R34" s="565"/>
      <c r="S34" s="218">
        <v>1.8800000000000001E-2</v>
      </c>
    </row>
    <row r="35" spans="1:19" ht="15.75" customHeight="1">
      <c r="A35" s="1138" t="s">
        <v>805</v>
      </c>
      <c r="B35" s="223">
        <v>394</v>
      </c>
      <c r="C35" s="218">
        <v>2.5899999999999999E-2</v>
      </c>
      <c r="D35" s="225">
        <v>0.523756</v>
      </c>
      <c r="E35" s="218">
        <v>1.3599999999999999E-2</v>
      </c>
      <c r="F35" s="565"/>
      <c r="G35" s="218">
        <v>2.5700000000000001E-2</v>
      </c>
      <c r="H35" s="225">
        <v>0.42593999999999999</v>
      </c>
      <c r="I35" s="218">
        <v>1.09E-2</v>
      </c>
      <c r="J35" s="565"/>
      <c r="K35" s="218">
        <v>3.4300000000000004E-2</v>
      </c>
      <c r="L35" s="225">
        <v>1.9295E-2</v>
      </c>
      <c r="M35" s="218">
        <v>6.9999999999999999E-4</v>
      </c>
      <c r="N35" s="565"/>
      <c r="O35" s="218">
        <v>3.4300000000000004E-2</v>
      </c>
      <c r="P35" s="225">
        <v>3.1008999999999998E-2</v>
      </c>
      <c r="Q35" s="218">
        <v>1.1000000000000001E-3</v>
      </c>
      <c r="R35" s="565"/>
      <c r="S35" s="218">
        <v>2.63E-2</v>
      </c>
    </row>
    <row r="36" spans="1:19" ht="15.75" customHeight="1">
      <c r="A36" s="1138" t="s">
        <v>806</v>
      </c>
      <c r="B36" s="223">
        <v>395</v>
      </c>
      <c r="C36" s="218">
        <v>3.5000000000000003E-2</v>
      </c>
      <c r="D36" s="225">
        <v>0.523756</v>
      </c>
      <c r="E36" s="218">
        <v>1.83E-2</v>
      </c>
      <c r="F36" s="565"/>
      <c r="G36" s="218">
        <v>4.0099999999999997E-2</v>
      </c>
      <c r="H36" s="225">
        <v>0.42593999999999999</v>
      </c>
      <c r="I36" s="218">
        <v>1.7100000000000001E-2</v>
      </c>
      <c r="J36" s="565"/>
      <c r="K36" s="218">
        <v>3.4300000000000004E-2</v>
      </c>
      <c r="L36" s="225">
        <v>1.9295E-2</v>
      </c>
      <c r="M36" s="218">
        <v>6.9999999999999999E-4</v>
      </c>
      <c r="N36" s="565"/>
      <c r="O36" s="218">
        <v>3.4300000000000004E-2</v>
      </c>
      <c r="P36" s="225">
        <v>3.1008999999999998E-2</v>
      </c>
      <c r="Q36" s="218">
        <v>1.1000000000000001E-3</v>
      </c>
      <c r="R36" s="565"/>
      <c r="S36" s="218">
        <v>3.7199999999999997E-2</v>
      </c>
    </row>
    <row r="37" spans="1:19" ht="15.75" customHeight="1">
      <c r="A37" s="1138" t="s">
        <v>984</v>
      </c>
      <c r="B37" s="223">
        <v>396</v>
      </c>
      <c r="C37" s="218">
        <v>4.1599999999999998E-2</v>
      </c>
      <c r="D37" s="225">
        <v>0.523756</v>
      </c>
      <c r="E37" s="218">
        <v>2.18E-2</v>
      </c>
      <c r="F37" s="565"/>
      <c r="G37" s="218">
        <v>3.9E-2</v>
      </c>
      <c r="H37" s="225">
        <v>0.42593999999999999</v>
      </c>
      <c r="I37" s="218">
        <v>1.66E-2</v>
      </c>
      <c r="J37" s="565"/>
      <c r="K37" s="218">
        <v>3.4300000000000004E-2</v>
      </c>
      <c r="L37" s="225">
        <v>1.9295E-2</v>
      </c>
      <c r="M37" s="218">
        <v>6.9999999999999999E-4</v>
      </c>
      <c r="N37" s="565"/>
      <c r="O37" s="218">
        <v>3.4300000000000004E-2</v>
      </c>
      <c r="P37" s="225">
        <v>3.1008999999999998E-2</v>
      </c>
      <c r="Q37" s="218">
        <v>1.1000000000000001E-3</v>
      </c>
      <c r="R37" s="565"/>
      <c r="S37" s="218">
        <v>4.02E-2</v>
      </c>
    </row>
    <row r="38" spans="1:19" ht="15">
      <c r="A38" s="1138" t="s">
        <v>807</v>
      </c>
      <c r="B38" s="223">
        <v>397</v>
      </c>
      <c r="C38" s="218">
        <v>5.0200000000000002E-2</v>
      </c>
      <c r="D38" s="225">
        <v>0.523756</v>
      </c>
      <c r="E38" s="218">
        <v>2.63E-2</v>
      </c>
      <c r="F38" s="565"/>
      <c r="G38" s="218">
        <v>4.9799999999999997E-2</v>
      </c>
      <c r="H38" s="225">
        <v>0.42593999999999999</v>
      </c>
      <c r="I38" s="218">
        <v>2.12E-2</v>
      </c>
      <c r="J38" s="565"/>
      <c r="K38" s="218">
        <v>3.4300000000000004E-2</v>
      </c>
      <c r="L38" s="225">
        <v>1.9295E-2</v>
      </c>
      <c r="M38" s="218">
        <v>6.9999999999999999E-4</v>
      </c>
      <c r="N38" s="565"/>
      <c r="O38" s="218">
        <v>3.4300000000000004E-2</v>
      </c>
      <c r="P38" s="225">
        <v>3.1008999999999998E-2</v>
      </c>
      <c r="Q38" s="218">
        <v>1.1000000000000001E-3</v>
      </c>
      <c r="R38" s="565"/>
      <c r="S38" s="218">
        <v>4.9299999999999997E-2</v>
      </c>
    </row>
    <row r="39" spans="1:19" ht="15">
      <c r="A39" s="1138" t="s">
        <v>808</v>
      </c>
      <c r="B39" s="223">
        <v>398</v>
      </c>
      <c r="C39" s="218">
        <v>2.7099999999999999E-2</v>
      </c>
      <c r="D39" s="225">
        <v>0.523756</v>
      </c>
      <c r="E39" s="218">
        <v>1.4200000000000001E-2</v>
      </c>
      <c r="F39" s="565"/>
      <c r="G39" s="218">
        <v>2.7E-2</v>
      </c>
      <c r="H39" s="225">
        <v>0.42593999999999999</v>
      </c>
      <c r="I39" s="218">
        <v>1.15E-2</v>
      </c>
      <c r="J39" s="565"/>
      <c r="K39" s="218">
        <v>3.4300000000000004E-2</v>
      </c>
      <c r="L39" s="225">
        <v>1.9295E-2</v>
      </c>
      <c r="M39" s="218">
        <v>6.9999999999999999E-4</v>
      </c>
      <c r="N39" s="565"/>
      <c r="O39" s="218">
        <v>3.4300000000000004E-2</v>
      </c>
      <c r="P39" s="225">
        <v>3.1008999999999998E-2</v>
      </c>
      <c r="Q39" s="218">
        <v>1.1000000000000001E-3</v>
      </c>
      <c r="R39" s="565"/>
      <c r="S39" s="218">
        <v>2.75E-2</v>
      </c>
    </row>
    <row r="40" spans="1:19" ht="15.75" thickBot="1">
      <c r="A40" s="1014"/>
      <c r="B40" s="1015"/>
      <c r="C40" s="1016"/>
      <c r="D40" s="1017"/>
      <c r="E40" s="1018"/>
      <c r="F40" s="1015"/>
      <c r="G40" s="1018"/>
      <c r="H40" s="1017"/>
      <c r="I40" s="1018"/>
      <c r="J40" s="1015"/>
      <c r="K40" s="1016"/>
      <c r="L40" s="1017"/>
      <c r="M40" s="1018"/>
      <c r="N40" s="1015"/>
      <c r="O40" s="1016"/>
      <c r="P40" s="1017"/>
      <c r="Q40" s="1018"/>
      <c r="R40" s="1015"/>
      <c r="S40" s="1018"/>
    </row>
    <row r="41" spans="1:19" ht="15">
      <c r="A41" s="563"/>
      <c r="B41" s="565"/>
      <c r="C41" s="218"/>
      <c r="D41" s="563"/>
      <c r="E41" s="563"/>
      <c r="F41" s="563"/>
      <c r="G41" s="224"/>
      <c r="H41" s="563"/>
      <c r="I41" s="563"/>
      <c r="J41" s="563"/>
      <c r="K41" s="563"/>
      <c r="L41" s="563"/>
      <c r="M41" s="563"/>
      <c r="N41" s="563"/>
      <c r="O41" s="563"/>
      <c r="P41" s="563"/>
      <c r="Q41" s="563"/>
      <c r="R41" s="563"/>
      <c r="S41" s="563"/>
    </row>
    <row r="42" spans="1:19" ht="15" customHeight="1">
      <c r="A42" s="1311" t="s">
        <v>1173</v>
      </c>
      <c r="B42" s="1311"/>
      <c r="C42" s="1311"/>
      <c r="D42" s="1311"/>
      <c r="F42" s="1141" t="s">
        <v>124</v>
      </c>
      <c r="G42" s="1142" t="s">
        <v>1066</v>
      </c>
      <c r="H42" s="1087"/>
      <c r="L42" s="1143" t="s">
        <v>608</v>
      </c>
      <c r="M42" t="s">
        <v>1174</v>
      </c>
    </row>
    <row r="43" spans="1:19">
      <c r="A43" s="1311"/>
      <c r="B43" s="1311"/>
      <c r="C43" s="1311"/>
      <c r="D43" s="1311"/>
      <c r="F43" s="1144"/>
      <c r="G43" s="1142"/>
      <c r="H43" s="1087"/>
      <c r="M43" t="s">
        <v>1175</v>
      </c>
    </row>
    <row r="44" spans="1:19" ht="15" customHeight="1">
      <c r="A44" s="1311"/>
      <c r="B44" s="1311"/>
      <c r="C44" s="1311"/>
      <c r="D44" s="1311"/>
      <c r="F44" s="1143" t="s">
        <v>607</v>
      </c>
      <c r="G44" s="1142" t="s">
        <v>1067</v>
      </c>
      <c r="M44" t="s">
        <v>609</v>
      </c>
    </row>
    <row r="45" spans="1:19">
      <c r="A45" s="1311"/>
      <c r="B45" s="1311"/>
      <c r="C45" s="1311"/>
      <c r="D45" s="1311"/>
      <c r="F45" s="1144"/>
      <c r="G45" s="1142"/>
      <c r="H45" s="1087"/>
    </row>
    <row r="46" spans="1:19" ht="15.75" customHeight="1">
      <c r="A46" t="s">
        <v>1176</v>
      </c>
      <c r="B46" s="1145"/>
      <c r="C46" s="1146"/>
      <c r="D46" s="1145"/>
      <c r="E46" s="1145"/>
      <c r="F46" s="1143"/>
      <c r="H46" s="1087"/>
      <c r="L46" s="1143" t="s">
        <v>610</v>
      </c>
      <c r="M46" t="s">
        <v>1070</v>
      </c>
    </row>
    <row r="47" spans="1:19" ht="15.75" customHeight="1">
      <c r="B47" s="1145"/>
      <c r="C47" s="1146"/>
      <c r="D47" s="1147"/>
      <c r="E47" s="1147"/>
      <c r="F47" s="1148"/>
      <c r="M47" t="s">
        <v>1071</v>
      </c>
    </row>
    <row r="48" spans="1:19" ht="15.75" customHeight="1">
      <c r="A48" t="s">
        <v>1068</v>
      </c>
      <c r="B48" s="1145"/>
      <c r="C48" s="1146"/>
      <c r="D48" s="1145"/>
      <c r="E48" s="1145"/>
      <c r="G48" s="1142"/>
      <c r="O48" s="1149"/>
    </row>
    <row r="49" spans="1:19" ht="15.75">
      <c r="A49" t="s">
        <v>1069</v>
      </c>
      <c r="B49" s="1145"/>
      <c r="C49" s="1146"/>
      <c r="D49" s="1145"/>
      <c r="E49" s="1145"/>
      <c r="G49" s="1142"/>
      <c r="L49" s="1143" t="s">
        <v>1177</v>
      </c>
      <c r="M49" s="1273" t="s">
        <v>1178</v>
      </c>
      <c r="N49" s="1273"/>
      <c r="O49" s="1273"/>
      <c r="P49" s="1273"/>
      <c r="Q49" s="1273"/>
      <c r="R49" s="1273"/>
      <c r="S49" s="1273"/>
    </row>
    <row r="50" spans="1:19" ht="15.75" customHeight="1">
      <c r="B50" s="1145"/>
      <c r="C50" s="1146"/>
      <c r="D50" s="1147"/>
      <c r="E50" s="1147"/>
      <c r="G50" s="1142"/>
      <c r="M50" s="1273"/>
      <c r="N50" s="1273"/>
      <c r="O50" s="1273"/>
      <c r="P50" s="1273"/>
      <c r="Q50" s="1273"/>
      <c r="R50" s="1273"/>
      <c r="S50" s="1273"/>
    </row>
    <row r="51" spans="1:19">
      <c r="B51" s="1150"/>
      <c r="C51" s="1151"/>
      <c r="G51" s="1142"/>
      <c r="M51" s="1273"/>
      <c r="N51" s="1273"/>
      <c r="O51" s="1273"/>
      <c r="P51" s="1273"/>
      <c r="Q51" s="1273"/>
      <c r="R51" s="1273"/>
      <c r="S51" s="1273"/>
    </row>
    <row r="52" spans="1:19" ht="15">
      <c r="A52" s="576" t="s">
        <v>29</v>
      </c>
      <c r="B52" s="577"/>
      <c r="C52" s="577"/>
      <c r="D52" s="578"/>
      <c r="E52" s="563"/>
      <c r="F52" s="563"/>
      <c r="G52" s="224"/>
      <c r="H52" s="563"/>
      <c r="I52" s="563"/>
      <c r="J52" s="563"/>
      <c r="K52" s="563"/>
      <c r="L52" s="563"/>
      <c r="M52" s="563"/>
      <c r="N52" s="563"/>
      <c r="O52" s="575"/>
      <c r="P52" s="563"/>
      <c r="Q52" s="563"/>
      <c r="R52" s="563"/>
      <c r="S52" s="563"/>
    </row>
    <row r="53" spans="1:19" ht="15">
      <c r="A53" s="1312" t="s">
        <v>611</v>
      </c>
      <c r="B53" s="1313"/>
      <c r="C53" s="1313"/>
      <c r="D53" s="1313"/>
      <c r="E53" s="1313"/>
      <c r="F53" s="1313"/>
      <c r="G53" s="1313"/>
      <c r="H53" s="1313"/>
      <c r="I53" s="1313"/>
      <c r="J53" s="1313"/>
      <c r="K53" s="1313"/>
      <c r="L53" s="1313"/>
      <c r="M53" s="1313"/>
      <c r="N53" s="1313"/>
      <c r="O53" s="563"/>
      <c r="P53" s="563"/>
      <c r="Q53" s="563"/>
      <c r="R53" s="563"/>
      <c r="S53" s="563"/>
    </row>
    <row r="54" spans="1:19" ht="15">
      <c r="A54" s="1313"/>
      <c r="B54" s="1313"/>
      <c r="C54" s="1313"/>
      <c r="D54" s="1313"/>
      <c r="E54" s="1313"/>
      <c r="F54" s="1313"/>
      <c r="G54" s="1313"/>
      <c r="H54" s="1313"/>
      <c r="I54" s="1313"/>
      <c r="J54" s="1313"/>
      <c r="K54" s="1313"/>
      <c r="L54" s="1313"/>
      <c r="M54" s="1313"/>
      <c r="N54" s="1313"/>
      <c r="O54" s="563"/>
      <c r="P54" s="563"/>
      <c r="Q54" s="563"/>
      <c r="R54" s="563"/>
      <c r="S54" s="563"/>
    </row>
    <row r="55" spans="1:19" ht="15">
      <c r="A55" s="1202" t="s">
        <v>817</v>
      </c>
      <c r="B55" s="1202"/>
      <c r="C55" s="1202"/>
      <c r="D55" s="1202"/>
      <c r="E55" s="1202"/>
      <c r="F55" s="1202"/>
      <c r="G55" s="1202"/>
      <c r="H55" s="1202"/>
      <c r="I55" s="1202"/>
      <c r="J55" s="1202"/>
      <c r="K55" s="1202"/>
      <c r="L55" s="1202"/>
      <c r="M55" s="1202"/>
      <c r="N55" s="1202"/>
      <c r="O55" s="563"/>
      <c r="P55" s="563"/>
      <c r="Q55" s="563"/>
      <c r="R55" s="563"/>
      <c r="S55" s="563"/>
    </row>
    <row r="56" spans="1:19" ht="15">
      <c r="A56" s="1202"/>
      <c r="B56" s="1202"/>
      <c r="C56" s="1202"/>
      <c r="D56" s="1202"/>
      <c r="E56" s="1202"/>
      <c r="F56" s="1202"/>
      <c r="G56" s="1202"/>
      <c r="H56" s="1202"/>
      <c r="I56" s="1202"/>
      <c r="J56" s="1202"/>
      <c r="K56" s="1202"/>
      <c r="L56" s="1202"/>
      <c r="M56" s="1202"/>
      <c r="N56" s="1202"/>
      <c r="O56" s="563"/>
      <c r="P56" s="563"/>
      <c r="Q56" s="563"/>
      <c r="R56" s="563"/>
      <c r="S56" s="563"/>
    </row>
  </sheetData>
  <mergeCells count="16">
    <mergeCell ref="A42:D45"/>
    <mergeCell ref="M49:S51"/>
    <mergeCell ref="A55:N56"/>
    <mergeCell ref="A53:N54"/>
    <mergeCell ref="A8:O8"/>
    <mergeCell ref="A9:O9"/>
    <mergeCell ref="A10:O10"/>
    <mergeCell ref="C12:E12"/>
    <mergeCell ref="G12:I12"/>
    <mergeCell ref="K12:M12"/>
    <mergeCell ref="O12:Q12"/>
    <mergeCell ref="A3:O3"/>
    <mergeCell ref="A6:O6"/>
    <mergeCell ref="A7:O7"/>
    <mergeCell ref="A4:O4"/>
    <mergeCell ref="A5:O5"/>
  </mergeCells>
  <phoneticPr fontId="7" type="noConversion"/>
  <conditionalFormatting sqref="A3 A4:S9 A10 P10:S10">
    <cfRule type="cellIs" dxfId="15" priority="60" stopIfTrue="1" operator="lessThan">
      <formula>0</formula>
    </cfRule>
  </conditionalFormatting>
  <conditionalFormatting sqref="A53">
    <cfRule type="cellIs" dxfId="14" priority="58" stopIfTrue="1" operator="lessThan">
      <formula>0</formula>
    </cfRule>
  </conditionalFormatting>
  <conditionalFormatting sqref="A46:G46 M46:N50 A47:F49 A50:E51">
    <cfRule type="cellIs" dxfId="13" priority="10" stopIfTrue="1" operator="lessThan">
      <formula>0</formula>
    </cfRule>
  </conditionalFormatting>
  <conditionalFormatting sqref="A42:N45 O42:S56">
    <cfRule type="cellIs" dxfId="12" priority="12" stopIfTrue="1" operator="lessThan">
      <formula>0</formula>
    </cfRule>
  </conditionalFormatting>
  <conditionalFormatting sqref="A52:N52">
    <cfRule type="cellIs" dxfId="11" priority="59" stopIfTrue="1" operator="lessThan">
      <formula>0</formula>
    </cfRule>
  </conditionalFormatting>
  <conditionalFormatting sqref="A12:S41">
    <cfRule type="cellIs" dxfId="10" priority="13" stopIfTrue="1" operator="lessThan">
      <formula>0</formula>
    </cfRule>
  </conditionalFormatting>
  <conditionalFormatting sqref="F50:G50">
    <cfRule type="cellIs" dxfId="9" priority="2" stopIfTrue="1" operator="lessThan">
      <formula>0</formula>
    </cfRule>
  </conditionalFormatting>
  <conditionalFormatting sqref="G46">
    <cfRule type="colorScale" priority="9">
      <colorScale>
        <cfvo type="min"/>
        <cfvo type="percentile" val="50"/>
        <cfvo type="max"/>
        <color rgb="FF5A8AC6"/>
        <color rgb="FFFCFCFF"/>
        <color rgb="FFF8696B"/>
      </colorScale>
    </cfRule>
  </conditionalFormatting>
  <conditionalFormatting sqref="G47">
    <cfRule type="colorScale" priority="7">
      <colorScale>
        <cfvo type="min"/>
        <cfvo type="percentile" val="50"/>
        <cfvo type="max"/>
        <color rgb="FF5A8AC6"/>
        <color rgb="FFFCFCFF"/>
        <color rgb="FFF8696B"/>
      </colorScale>
    </cfRule>
    <cfRule type="cellIs" dxfId="8" priority="8" stopIfTrue="1" operator="lessThan">
      <formula>0</formula>
    </cfRule>
  </conditionalFormatting>
  <conditionalFormatting sqref="G48">
    <cfRule type="colorScale" priority="5">
      <colorScale>
        <cfvo type="min"/>
        <cfvo type="percentile" val="50"/>
        <cfvo type="max"/>
        <color rgb="FF5A8AC6"/>
        <color rgb="FFFCFCFF"/>
        <color rgb="FFF8696B"/>
      </colorScale>
    </cfRule>
    <cfRule type="cellIs" dxfId="7" priority="6" stopIfTrue="1" operator="lessThan">
      <formula>0</formula>
    </cfRule>
  </conditionalFormatting>
  <conditionalFormatting sqref="G49">
    <cfRule type="colorScale" priority="3">
      <colorScale>
        <cfvo type="min"/>
        <cfvo type="percentile" val="50"/>
        <cfvo type="max"/>
        <color rgb="FF5A8AC6"/>
        <color rgb="FFFCFCFF"/>
        <color rgb="FFF8696B"/>
      </colorScale>
    </cfRule>
    <cfRule type="cellIs" dxfId="6" priority="4" stopIfTrue="1" operator="lessThan">
      <formula>0</formula>
    </cfRule>
  </conditionalFormatting>
  <conditionalFormatting sqref="G50">
    <cfRule type="colorScale" priority="1">
      <colorScale>
        <cfvo type="min"/>
        <cfvo type="percentile" val="50"/>
        <cfvo type="max"/>
        <color rgb="FF5A8AC6"/>
        <color rgb="FFFCFCFF"/>
        <color rgb="FFF8696B"/>
      </colorScale>
    </cfRule>
  </conditionalFormatting>
  <conditionalFormatting sqref="L51:N51">
    <cfRule type="cellIs" dxfId="5" priority="11" stopIfTrue="1" operator="lessThan">
      <formula>0</formula>
    </cfRule>
  </conditionalFormatting>
  <printOptions horizontalCentered="1"/>
  <pageMargins left="0.55000000000000004" right="0.55000000000000004" top="1.25" bottom="0.75" header="0.75" footer="0.27"/>
  <pageSetup scale="46" orientation="landscape" r:id="rId1"/>
  <headerFooter alignWithMargins="0">
    <oddHeader>&amp;RFormula Rate 
&amp;A
Page &amp;P of &amp;N</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K59"/>
  <sheetViews>
    <sheetView tabSelected="1" view="pageBreakPreview" zoomScale="60" zoomScaleNormal="70" workbookViewId="0">
      <selection activeCell="D9" sqref="D9"/>
    </sheetView>
  </sheetViews>
  <sheetFormatPr defaultColWidth="9.140625" defaultRowHeight="12.75"/>
  <cols>
    <col min="1" max="1" width="34.28515625" style="1084" customWidth="1"/>
    <col min="2" max="2" width="9.140625" style="1084"/>
    <col min="3" max="3" width="11.85546875" style="1084" customWidth="1"/>
    <col min="4" max="4" width="18.28515625" style="1084" customWidth="1"/>
    <col min="5" max="5" width="12.5703125" style="1084" customWidth="1"/>
    <col min="6" max="6" width="9.140625" style="1084"/>
    <col min="7" max="7" width="12.140625" style="1084" customWidth="1"/>
    <col min="8" max="8" width="18.85546875" style="1084" customWidth="1"/>
    <col min="9" max="9" width="15.5703125" style="1084" bestFit="1" customWidth="1"/>
    <col min="10" max="16384" width="9.140625" style="1084"/>
  </cols>
  <sheetData>
    <row r="1" spans="1:11" s="563" customFormat="1" ht="15.75">
      <c r="A1" s="669" t="s">
        <v>115</v>
      </c>
      <c r="G1" s="224"/>
    </row>
    <row r="2" spans="1:11" s="563" customFormat="1" ht="15.75">
      <c r="A2" s="669" t="s">
        <v>115</v>
      </c>
      <c r="G2" s="224"/>
    </row>
    <row r="3" spans="1:11" ht="19.5">
      <c r="A3" s="1310" t="s">
        <v>392</v>
      </c>
      <c r="B3" s="1310"/>
      <c r="C3" s="1310"/>
      <c r="D3" s="1310"/>
      <c r="E3" s="1310"/>
      <c r="F3" s="1310"/>
      <c r="G3" s="1310"/>
      <c r="H3" s="1310"/>
      <c r="I3" s="1310"/>
      <c r="J3" s="1310"/>
      <c r="K3" s="1310"/>
    </row>
    <row r="4" spans="1:11" ht="19.5">
      <c r="A4" s="1310" t="s">
        <v>393</v>
      </c>
      <c r="B4" s="1310"/>
      <c r="C4" s="1310"/>
      <c r="D4" s="1310"/>
      <c r="E4" s="1310"/>
      <c r="F4" s="1310"/>
      <c r="G4" s="1310"/>
      <c r="H4" s="1310"/>
      <c r="I4" s="1310"/>
      <c r="J4" s="1310"/>
      <c r="K4" s="1310"/>
    </row>
    <row r="5" spans="1:11" ht="19.5">
      <c r="A5" s="1310" t="s">
        <v>394</v>
      </c>
      <c r="B5" s="1310"/>
      <c r="C5" s="1310"/>
      <c r="D5" s="1310"/>
      <c r="E5" s="1310"/>
      <c r="F5" s="1310"/>
      <c r="G5" s="1310"/>
      <c r="H5" s="1310"/>
      <c r="I5" s="1310"/>
      <c r="J5" s="1310"/>
      <c r="K5" s="1310"/>
    </row>
    <row r="6" spans="1:11" ht="19.5">
      <c r="A6" s="1310" t="s">
        <v>395</v>
      </c>
      <c r="B6" s="1310"/>
      <c r="C6" s="1310"/>
      <c r="D6" s="1310"/>
      <c r="E6" s="1310"/>
      <c r="F6" s="1310"/>
      <c r="G6" s="1310"/>
      <c r="H6" s="1310"/>
      <c r="I6" s="1310"/>
      <c r="J6" s="1310"/>
      <c r="K6" s="1310"/>
    </row>
    <row r="7" spans="1:11" ht="19.5">
      <c r="A7" s="1310" t="s">
        <v>1079</v>
      </c>
      <c r="B7" s="1310"/>
      <c r="C7" s="1310"/>
      <c r="D7" s="1310"/>
      <c r="E7" s="1310"/>
      <c r="F7" s="1310"/>
      <c r="G7" s="1310"/>
      <c r="H7" s="1310"/>
      <c r="I7" s="1310"/>
      <c r="J7" s="1310"/>
      <c r="K7" s="1310"/>
    </row>
    <row r="8" spans="1:11" ht="19.5">
      <c r="A8" s="1310" t="s">
        <v>396</v>
      </c>
      <c r="B8" s="1310"/>
      <c r="C8" s="1310"/>
      <c r="D8" s="1310"/>
      <c r="E8" s="1310"/>
      <c r="F8" s="1310"/>
      <c r="G8" s="1310"/>
      <c r="H8" s="1310"/>
      <c r="I8" s="1310"/>
      <c r="J8" s="1310"/>
      <c r="K8" s="1310"/>
    </row>
    <row r="9" spans="1:11" ht="19.5">
      <c r="A9" s="1310" t="s">
        <v>764</v>
      </c>
      <c r="B9" s="1310"/>
      <c r="C9" s="1310"/>
      <c r="D9" s="1310"/>
      <c r="E9" s="1310"/>
      <c r="F9" s="1310"/>
      <c r="G9" s="1310"/>
      <c r="H9" s="1310"/>
      <c r="I9" s="1310"/>
      <c r="J9" s="1310"/>
      <c r="K9" s="1310"/>
    </row>
    <row r="10" spans="1:11" ht="19.5">
      <c r="A10" s="1318"/>
      <c r="B10" s="1318"/>
      <c r="C10" s="1318"/>
      <c r="D10" s="1318"/>
      <c r="E10" s="1318"/>
      <c r="F10" s="1318"/>
      <c r="G10" s="1318"/>
      <c r="H10" s="1318"/>
      <c r="I10" s="1318"/>
      <c r="J10" s="1318"/>
      <c r="K10" s="1318"/>
    </row>
    <row r="11" spans="1:11" ht="16.5" thickBot="1">
      <c r="A11" s="856"/>
      <c r="B11" s="856"/>
      <c r="C11" s="1316" t="s">
        <v>765</v>
      </c>
      <c r="D11" s="1316"/>
      <c r="E11" s="1316"/>
      <c r="F11" s="856"/>
      <c r="G11" s="1316" t="s">
        <v>1072</v>
      </c>
      <c r="H11" s="1316"/>
      <c r="I11" s="1316"/>
      <c r="J11" s="856"/>
      <c r="K11" s="1008" t="s">
        <v>398</v>
      </c>
    </row>
    <row r="12" spans="1:11" ht="15.75">
      <c r="A12" s="857"/>
      <c r="B12" s="856"/>
      <c r="C12" s="566" t="s">
        <v>122</v>
      </c>
      <c r="D12" s="858"/>
      <c r="E12" s="858"/>
      <c r="F12" s="858"/>
      <c r="G12" s="568" t="s">
        <v>123</v>
      </c>
      <c r="H12" s="569"/>
      <c r="I12" s="569"/>
      <c r="J12" s="569"/>
      <c r="K12" s="569"/>
    </row>
    <row r="13" spans="1:11" ht="15">
      <c r="A13" s="856"/>
      <c r="B13" s="856"/>
      <c r="C13" s="566" t="s">
        <v>115</v>
      </c>
      <c r="D13" s="858"/>
      <c r="E13" s="566" t="s">
        <v>399</v>
      </c>
      <c r="F13" s="858"/>
      <c r="G13" s="568" t="s">
        <v>766</v>
      </c>
      <c r="H13" s="858"/>
      <c r="I13" s="566" t="s">
        <v>399</v>
      </c>
      <c r="J13" s="858"/>
      <c r="K13" s="566" t="s">
        <v>399</v>
      </c>
    </row>
    <row r="14" spans="1:11" ht="15">
      <c r="A14" s="856"/>
      <c r="B14" s="566" t="s">
        <v>400</v>
      </c>
      <c r="C14" s="566" t="s">
        <v>767</v>
      </c>
      <c r="D14" s="566" t="s">
        <v>401</v>
      </c>
      <c r="E14" s="566" t="s">
        <v>402</v>
      </c>
      <c r="F14" s="858"/>
      <c r="G14" s="568" t="s">
        <v>403</v>
      </c>
      <c r="H14" s="566" t="s">
        <v>401</v>
      </c>
      <c r="I14" s="566" t="s">
        <v>402</v>
      </c>
      <c r="J14" s="858"/>
      <c r="K14" s="566" t="s">
        <v>402</v>
      </c>
    </row>
    <row r="15" spans="1:11" ht="15">
      <c r="A15" s="566"/>
      <c r="B15" s="566" t="s">
        <v>404</v>
      </c>
      <c r="C15" s="566" t="s">
        <v>405</v>
      </c>
      <c r="D15" s="566" t="s">
        <v>768</v>
      </c>
      <c r="E15" s="566" t="s">
        <v>406</v>
      </c>
      <c r="F15" s="858"/>
      <c r="G15" s="568" t="s">
        <v>405</v>
      </c>
      <c r="H15" s="566" t="s">
        <v>768</v>
      </c>
      <c r="I15" s="566" t="s">
        <v>406</v>
      </c>
      <c r="J15" s="858"/>
      <c r="K15" s="566" t="s">
        <v>406</v>
      </c>
    </row>
    <row r="16" spans="1:11" ht="15">
      <c r="A16" s="563"/>
      <c r="B16" s="563"/>
      <c r="C16" s="563"/>
      <c r="D16" s="563"/>
      <c r="E16" s="563"/>
      <c r="F16" s="563"/>
      <c r="G16" s="224"/>
      <c r="H16" s="563"/>
      <c r="I16" s="563"/>
      <c r="J16" s="563"/>
      <c r="K16" s="563"/>
    </row>
    <row r="17" spans="1:11" ht="15.75" thickBot="1">
      <c r="A17" s="859"/>
      <c r="B17" s="856"/>
      <c r="C17" s="218"/>
      <c r="D17" s="856"/>
      <c r="E17" s="856"/>
      <c r="F17" s="856"/>
      <c r="G17" s="860"/>
      <c r="H17" s="856"/>
      <c r="I17" s="856"/>
      <c r="J17" s="856"/>
      <c r="K17" s="856"/>
    </row>
    <row r="18" spans="1:11" ht="15">
      <c r="A18" s="573" t="s">
        <v>407</v>
      </c>
      <c r="B18" s="861"/>
      <c r="C18" s="219"/>
      <c r="D18" s="220"/>
      <c r="E18" s="221"/>
      <c r="F18" s="861"/>
      <c r="G18" s="221"/>
      <c r="H18" s="222"/>
      <c r="I18" s="221"/>
      <c r="J18" s="861"/>
      <c r="K18" s="221"/>
    </row>
    <row r="19" spans="1:11" ht="15">
      <c r="A19" s="563" t="s">
        <v>769</v>
      </c>
      <c r="B19" s="223">
        <v>350.1</v>
      </c>
      <c r="C19" s="224">
        <v>1.66E-2</v>
      </c>
      <c r="D19" s="225">
        <v>0.66233529999999996</v>
      </c>
      <c r="E19" s="224">
        <f t="shared" ref="E19:E27" si="0">ROUND((C19*D19),6)</f>
        <v>1.0995E-2</v>
      </c>
      <c r="F19" s="856"/>
      <c r="G19" s="224">
        <v>1.6199999999999999E-2</v>
      </c>
      <c r="H19" s="225">
        <v>0.33766470000000004</v>
      </c>
      <c r="I19" s="224">
        <f t="shared" ref="I19:I27" si="1">ROUND((G19*H19),6)</f>
        <v>5.47E-3</v>
      </c>
      <c r="J19" s="856"/>
      <c r="K19" s="218">
        <f>ROUND(E19+I19,4)</f>
        <v>1.6500000000000001E-2</v>
      </c>
    </row>
    <row r="20" spans="1:11" ht="15">
      <c r="A20" s="563" t="s">
        <v>408</v>
      </c>
      <c r="B20" s="223">
        <v>352</v>
      </c>
      <c r="C20" s="224">
        <v>1.77E-2</v>
      </c>
      <c r="D20" s="225">
        <v>0.66233529999999996</v>
      </c>
      <c r="E20" s="224">
        <f t="shared" si="0"/>
        <v>1.1723000000000001E-2</v>
      </c>
      <c r="F20" s="856"/>
      <c r="G20" s="224">
        <v>1.7399999999999999E-2</v>
      </c>
      <c r="H20" s="225">
        <v>0.33766470000000004</v>
      </c>
      <c r="I20" s="224">
        <f t="shared" si="1"/>
        <v>5.875E-3</v>
      </c>
      <c r="J20" s="856"/>
      <c r="K20" s="218">
        <f t="shared" ref="K20:K27" si="2">ROUND(E20+I20,4)</f>
        <v>1.7600000000000001E-2</v>
      </c>
    </row>
    <row r="21" spans="1:11" ht="15">
      <c r="A21" s="563" t="s">
        <v>409</v>
      </c>
      <c r="B21" s="223">
        <v>353</v>
      </c>
      <c r="C21" s="224">
        <v>2.4299999999999999E-2</v>
      </c>
      <c r="D21" s="225">
        <v>0.66233529999999996</v>
      </c>
      <c r="E21" s="224">
        <f t="shared" si="0"/>
        <v>1.6095000000000002E-2</v>
      </c>
      <c r="F21" s="856"/>
      <c r="G21" s="224">
        <v>2.41E-2</v>
      </c>
      <c r="H21" s="225">
        <v>0.33766470000000004</v>
      </c>
      <c r="I21" s="224">
        <f t="shared" si="1"/>
        <v>8.1379999999999994E-3</v>
      </c>
      <c r="J21" s="856"/>
      <c r="K21" s="218">
        <f t="shared" si="2"/>
        <v>2.4199999999999999E-2</v>
      </c>
    </row>
    <row r="22" spans="1:11" ht="15">
      <c r="A22" s="563" t="s">
        <v>410</v>
      </c>
      <c r="B22" s="223">
        <v>354</v>
      </c>
      <c r="C22" s="224">
        <v>2.5700000000000001E-2</v>
      </c>
      <c r="D22" s="225">
        <v>0.66233529999999996</v>
      </c>
      <c r="E22" s="224">
        <f t="shared" si="0"/>
        <v>1.7021999999999999E-2</v>
      </c>
      <c r="F22" s="856"/>
      <c r="G22" s="224">
        <v>2.4500000000000001E-2</v>
      </c>
      <c r="H22" s="225">
        <v>0.33766470000000004</v>
      </c>
      <c r="I22" s="224">
        <f t="shared" si="1"/>
        <v>8.2730000000000008E-3</v>
      </c>
      <c r="J22" s="856"/>
      <c r="K22" s="218">
        <f t="shared" si="2"/>
        <v>2.53E-2</v>
      </c>
    </row>
    <row r="23" spans="1:11" ht="15">
      <c r="A23" s="563" t="s">
        <v>411</v>
      </c>
      <c r="B23" s="223">
        <v>355</v>
      </c>
      <c r="C23" s="224">
        <v>3.1899999999999998E-2</v>
      </c>
      <c r="D23" s="225">
        <v>0.66233529999999996</v>
      </c>
      <c r="E23" s="224">
        <f t="shared" si="0"/>
        <v>2.1128000000000001E-2</v>
      </c>
      <c r="F23" s="856"/>
      <c r="G23" s="224">
        <v>3.1699999999999999E-2</v>
      </c>
      <c r="H23" s="225">
        <v>0.33766470000000004</v>
      </c>
      <c r="I23" s="224">
        <f t="shared" si="1"/>
        <v>1.0704E-2</v>
      </c>
      <c r="J23" s="856"/>
      <c r="K23" s="218">
        <f t="shared" si="2"/>
        <v>3.1800000000000002E-2</v>
      </c>
    </row>
    <row r="24" spans="1:11" ht="15">
      <c r="A24" s="563" t="s">
        <v>770</v>
      </c>
      <c r="B24" s="223">
        <v>356</v>
      </c>
      <c r="C24" s="224">
        <v>2.35E-2</v>
      </c>
      <c r="D24" s="225">
        <v>0.66233529999999996</v>
      </c>
      <c r="E24" s="224">
        <f t="shared" si="0"/>
        <v>1.5565000000000001E-2</v>
      </c>
      <c r="F24" s="856"/>
      <c r="G24" s="224">
        <v>2.2800000000000001E-2</v>
      </c>
      <c r="H24" s="225">
        <v>0.33766470000000004</v>
      </c>
      <c r="I24" s="224">
        <f t="shared" si="1"/>
        <v>7.6990000000000001E-3</v>
      </c>
      <c r="J24" s="856"/>
      <c r="K24" s="218">
        <f t="shared" si="2"/>
        <v>2.3300000000000001E-2</v>
      </c>
    </row>
    <row r="25" spans="1:11" ht="15">
      <c r="A25" s="563" t="s">
        <v>412</v>
      </c>
      <c r="B25" s="223">
        <v>357</v>
      </c>
      <c r="C25" s="224">
        <v>2.3E-2</v>
      </c>
      <c r="D25" s="225">
        <v>0.66233529999999996</v>
      </c>
      <c r="E25" s="224">
        <f t="shared" si="0"/>
        <v>1.5233999999999999E-2</v>
      </c>
      <c r="F25" s="856"/>
      <c r="G25" s="224">
        <v>2.2100000000000002E-2</v>
      </c>
      <c r="H25" s="225">
        <v>0.33766470000000004</v>
      </c>
      <c r="I25" s="224">
        <f t="shared" si="1"/>
        <v>7.4619999999999999E-3</v>
      </c>
      <c r="J25" s="856"/>
      <c r="K25" s="218">
        <f t="shared" si="2"/>
        <v>2.2700000000000001E-2</v>
      </c>
    </row>
    <row r="26" spans="1:11" ht="15">
      <c r="A26" s="563" t="s">
        <v>413</v>
      </c>
      <c r="B26" s="223">
        <v>358</v>
      </c>
      <c r="C26" s="224">
        <v>1.9300000000000001E-2</v>
      </c>
      <c r="D26" s="225">
        <v>0.66233529999999996</v>
      </c>
      <c r="E26" s="224">
        <f t="shared" si="0"/>
        <v>1.2782999999999999E-2</v>
      </c>
      <c r="F26" s="856"/>
      <c r="G26" s="224">
        <v>1.9E-2</v>
      </c>
      <c r="H26" s="225">
        <v>0.33766470000000004</v>
      </c>
      <c r="I26" s="224">
        <f t="shared" si="1"/>
        <v>6.4159999999999998E-3</v>
      </c>
      <c r="J26" s="856"/>
      <c r="K26" s="218">
        <f t="shared" si="2"/>
        <v>1.9199999999999998E-2</v>
      </c>
    </row>
    <row r="27" spans="1:11" ht="15">
      <c r="A27" s="563" t="s">
        <v>771</v>
      </c>
      <c r="B27" s="223">
        <v>359</v>
      </c>
      <c r="C27" s="224">
        <v>1.61E-2</v>
      </c>
      <c r="D27" s="225">
        <v>0.66233529999999996</v>
      </c>
      <c r="E27" s="224">
        <f t="shared" si="0"/>
        <v>1.0664E-2</v>
      </c>
      <c r="F27" s="856"/>
      <c r="G27" s="224">
        <v>1.5900000000000001E-2</v>
      </c>
      <c r="H27" s="225">
        <v>0.33766470000000004</v>
      </c>
      <c r="I27" s="224">
        <f t="shared" si="1"/>
        <v>5.3689999999999996E-3</v>
      </c>
      <c r="J27" s="856"/>
      <c r="K27" s="218">
        <f t="shared" si="2"/>
        <v>1.6E-2</v>
      </c>
    </row>
    <row r="28" spans="1:11" ht="15">
      <c r="A28" s="563"/>
      <c r="B28" s="563"/>
      <c r="C28" s="563"/>
      <c r="D28" s="563"/>
      <c r="E28" s="563"/>
      <c r="F28" s="563"/>
      <c r="G28" s="563"/>
      <c r="H28" s="563"/>
      <c r="I28" s="563"/>
      <c r="J28" s="563"/>
      <c r="K28" s="563"/>
    </row>
    <row r="29" spans="1:11" ht="15.75" thickBot="1">
      <c r="A29" s="563"/>
      <c r="B29" s="563"/>
      <c r="C29" s="563"/>
      <c r="D29" s="563"/>
      <c r="E29" s="563"/>
      <c r="F29" s="563"/>
      <c r="G29" s="563"/>
      <c r="H29" s="563"/>
      <c r="I29" s="563"/>
      <c r="J29" s="563"/>
      <c r="K29" s="563"/>
    </row>
    <row r="30" spans="1:11" ht="15">
      <c r="A30" s="1009" t="s">
        <v>982</v>
      </c>
      <c r="B30" s="1010"/>
      <c r="C30" s="1085"/>
      <c r="D30" s="1011"/>
      <c r="E30" s="1012"/>
      <c r="F30" s="1010"/>
      <c r="G30" s="1013"/>
      <c r="H30" s="1011"/>
      <c r="I30" s="1012"/>
      <c r="J30" s="1010"/>
      <c r="K30" s="563"/>
    </row>
    <row r="31" spans="1:11" ht="15">
      <c r="A31" s="1086"/>
      <c r="B31" s="223">
        <v>390</v>
      </c>
      <c r="C31" s="224">
        <v>2.0799999999999999E-2</v>
      </c>
      <c r="D31" s="225">
        <v>0.68186831634107659</v>
      </c>
      <c r="E31" s="224">
        <f t="shared" ref="E31:E39" si="3">ROUND((C31*D31),6)</f>
        <v>1.4182999999999999E-2</v>
      </c>
      <c r="F31" s="856"/>
      <c r="G31" s="224">
        <v>2.0799999999999999E-2</v>
      </c>
      <c r="H31" s="225">
        <v>0.31813168365892341</v>
      </c>
      <c r="I31" s="224">
        <f t="shared" ref="I31:I39" si="4">ROUND((G31*H31),6)</f>
        <v>6.6169999999999996E-3</v>
      </c>
      <c r="J31" s="1087"/>
      <c r="K31" s="218">
        <f t="shared" ref="K31:K39" si="5">ROUND(E31+I31,4)</f>
        <v>2.0799999999999999E-2</v>
      </c>
    </row>
    <row r="32" spans="1:11" ht="15">
      <c r="A32" s="1086"/>
      <c r="B32" s="223">
        <v>391</v>
      </c>
      <c r="C32" s="224">
        <v>4.7899999999999998E-2</v>
      </c>
      <c r="D32" s="225">
        <v>0.68186831634107659</v>
      </c>
      <c r="E32" s="224">
        <f t="shared" si="3"/>
        <v>3.2661000000000003E-2</v>
      </c>
      <c r="F32" s="856"/>
      <c r="G32" s="224">
        <v>4.8399999999999999E-2</v>
      </c>
      <c r="H32" s="225">
        <v>0.31813168365892341</v>
      </c>
      <c r="I32" s="224">
        <f t="shared" si="4"/>
        <v>1.5398E-2</v>
      </c>
      <c r="J32" s="1087"/>
      <c r="K32" s="218">
        <f t="shared" si="5"/>
        <v>4.8099999999999997E-2</v>
      </c>
    </row>
    <row r="33" spans="1:11" ht="15">
      <c r="A33" s="1088" t="s">
        <v>1073</v>
      </c>
      <c r="B33" s="223">
        <v>392</v>
      </c>
      <c r="C33" s="224">
        <v>4.6399999999999997E-2</v>
      </c>
      <c r="D33" s="225">
        <v>0.68186831634107659</v>
      </c>
      <c r="E33" s="224">
        <f t="shared" si="3"/>
        <v>3.1639E-2</v>
      </c>
      <c r="F33" s="856"/>
      <c r="G33" s="224">
        <v>4.6800000000000001E-2</v>
      </c>
      <c r="H33" s="225">
        <v>0.31813168365892341</v>
      </c>
      <c r="I33" s="224">
        <f t="shared" si="4"/>
        <v>1.4888999999999999E-2</v>
      </c>
      <c r="J33" s="1087"/>
      <c r="K33" s="218">
        <f t="shared" si="5"/>
        <v>4.65E-2</v>
      </c>
    </row>
    <row r="34" spans="1:11" ht="15">
      <c r="A34" s="1086"/>
      <c r="B34" s="223">
        <v>393</v>
      </c>
      <c r="C34" s="224">
        <v>7.3499999999999996E-2</v>
      </c>
      <c r="D34" s="225">
        <v>0.68186831634107659</v>
      </c>
      <c r="E34" s="224">
        <f t="shared" si="3"/>
        <v>5.0117000000000002E-2</v>
      </c>
      <c r="F34" s="856"/>
      <c r="G34" s="224">
        <v>7.3800000000000004E-2</v>
      </c>
      <c r="H34" s="225">
        <v>0.31813168365892341</v>
      </c>
      <c r="I34" s="224">
        <f t="shared" si="4"/>
        <v>2.3477999999999999E-2</v>
      </c>
      <c r="J34" s="1087"/>
      <c r="K34" s="218">
        <f t="shared" si="5"/>
        <v>7.3599999999999999E-2</v>
      </c>
    </row>
    <row r="35" spans="1:11" ht="15">
      <c r="A35" s="1086"/>
      <c r="B35" s="223">
        <v>394</v>
      </c>
      <c r="C35" s="224">
        <v>6.9900000000000004E-2</v>
      </c>
      <c r="D35" s="225">
        <v>0.68186831634107659</v>
      </c>
      <c r="E35" s="224">
        <f t="shared" si="3"/>
        <v>4.7662999999999997E-2</v>
      </c>
      <c r="F35" s="856"/>
      <c r="G35" s="224">
        <v>7.0699999999999999E-2</v>
      </c>
      <c r="H35" s="225">
        <v>0.31813168365892341</v>
      </c>
      <c r="I35" s="224">
        <f t="shared" si="4"/>
        <v>2.2492000000000002E-2</v>
      </c>
      <c r="J35" s="1087"/>
      <c r="K35" s="218">
        <f t="shared" si="5"/>
        <v>7.0199999999999999E-2</v>
      </c>
    </row>
    <row r="36" spans="1:11" ht="15">
      <c r="A36" s="1086"/>
      <c r="B36" s="223">
        <v>395</v>
      </c>
      <c r="C36" s="224">
        <v>5.4100000000000002E-2</v>
      </c>
      <c r="D36" s="225">
        <v>0.68186831634107659</v>
      </c>
      <c r="E36" s="224">
        <f t="shared" si="3"/>
        <v>3.6888999999999998E-2</v>
      </c>
      <c r="F36" s="856"/>
      <c r="G36" s="224">
        <v>5.4600000000000003E-2</v>
      </c>
      <c r="H36" s="225">
        <v>0.31813168365892341</v>
      </c>
      <c r="I36" s="224">
        <f t="shared" si="4"/>
        <v>1.737E-2</v>
      </c>
      <c r="J36" s="1087"/>
      <c r="K36" s="218">
        <f t="shared" si="5"/>
        <v>5.4300000000000001E-2</v>
      </c>
    </row>
    <row r="37" spans="1:11" ht="15">
      <c r="A37" s="1086"/>
      <c r="B37" s="223">
        <v>396</v>
      </c>
      <c r="C37" s="224">
        <v>4.8099999999999997E-2</v>
      </c>
      <c r="D37" s="225">
        <v>0.68186831634107659</v>
      </c>
      <c r="E37" s="224">
        <f t="shared" si="3"/>
        <v>3.2798000000000001E-2</v>
      </c>
      <c r="F37" s="856"/>
      <c r="G37" s="224">
        <v>4.9000000000000002E-2</v>
      </c>
      <c r="H37" s="225">
        <v>0.31813168365892341</v>
      </c>
      <c r="I37" s="224">
        <f t="shared" si="4"/>
        <v>1.5587999999999999E-2</v>
      </c>
      <c r="J37" s="1087"/>
      <c r="K37" s="218">
        <f t="shared" si="5"/>
        <v>4.8399999999999999E-2</v>
      </c>
    </row>
    <row r="38" spans="1:11" ht="15">
      <c r="A38" s="1086"/>
      <c r="B38" s="223">
        <v>397</v>
      </c>
      <c r="C38" s="224">
        <v>3.9100000000000003E-2</v>
      </c>
      <c r="D38" s="225">
        <v>0.68186831634107659</v>
      </c>
      <c r="E38" s="224">
        <f t="shared" si="3"/>
        <v>2.6661000000000001E-2</v>
      </c>
      <c r="F38" s="856"/>
      <c r="G38" s="224">
        <v>3.9300000000000002E-2</v>
      </c>
      <c r="H38" s="225">
        <v>0.31813168365892341</v>
      </c>
      <c r="I38" s="224">
        <f t="shared" si="4"/>
        <v>1.2503E-2</v>
      </c>
      <c r="J38" s="1087"/>
      <c r="K38" s="218">
        <f t="shared" si="5"/>
        <v>3.9199999999999999E-2</v>
      </c>
    </row>
    <row r="39" spans="1:11" ht="15">
      <c r="A39" s="1086"/>
      <c r="B39" s="223">
        <v>398</v>
      </c>
      <c r="C39" s="224">
        <v>3.32E-2</v>
      </c>
      <c r="D39" s="225">
        <v>0.68186831634107659</v>
      </c>
      <c r="E39" s="224">
        <f t="shared" si="3"/>
        <v>2.2637999999999998E-2</v>
      </c>
      <c r="F39" s="856"/>
      <c r="G39" s="224">
        <v>3.3500000000000002E-2</v>
      </c>
      <c r="H39" s="225">
        <v>0.31813168365892341</v>
      </c>
      <c r="I39" s="224">
        <f t="shared" si="4"/>
        <v>1.0657E-2</v>
      </c>
      <c r="J39" s="1087"/>
      <c r="K39" s="218">
        <f t="shared" si="5"/>
        <v>3.3300000000000003E-2</v>
      </c>
    </row>
    <row r="40" spans="1:11" ht="15.75" thickBot="1">
      <c r="A40" s="1014"/>
      <c r="B40" s="1015"/>
      <c r="C40" s="1016"/>
      <c r="D40" s="1017"/>
      <c r="E40" s="1018"/>
      <c r="F40" s="1015"/>
      <c r="G40" s="1018"/>
      <c r="H40" s="1017"/>
      <c r="I40" s="1018"/>
      <c r="J40" s="1015"/>
      <c r="K40" s="563"/>
    </row>
    <row r="41" spans="1:11" ht="15">
      <c r="A41" s="563"/>
      <c r="B41" s="563"/>
      <c r="C41" s="563"/>
      <c r="D41" s="563"/>
      <c r="E41" s="563"/>
      <c r="F41" s="563"/>
      <c r="G41" s="563"/>
      <c r="H41" s="563"/>
      <c r="I41" s="563"/>
      <c r="J41" s="563"/>
      <c r="K41" s="563"/>
    </row>
    <row r="42" spans="1:11" ht="15">
      <c r="A42" s="563"/>
      <c r="B42" s="563"/>
      <c r="C42" s="563"/>
      <c r="D42" s="563"/>
      <c r="E42" s="563"/>
      <c r="F42" s="563"/>
      <c r="G42" s="563"/>
      <c r="H42" s="563"/>
      <c r="I42" s="563"/>
      <c r="J42" s="563"/>
      <c r="K42" s="563"/>
    </row>
    <row r="43" spans="1:11" ht="15">
      <c r="A43" s="563"/>
      <c r="B43" s="856"/>
      <c r="C43" s="218"/>
      <c r="D43" s="563"/>
      <c r="E43" s="563"/>
      <c r="F43" s="563"/>
      <c r="G43" s="224"/>
      <c r="H43" s="563"/>
      <c r="I43" s="563"/>
      <c r="J43" s="563"/>
      <c r="K43" s="563"/>
    </row>
    <row r="44" spans="1:11" ht="15.75">
      <c r="A44" s="857" t="s">
        <v>1080</v>
      </c>
      <c r="B44" s="862"/>
      <c r="C44" s="226"/>
      <c r="D44" s="862"/>
      <c r="E44" s="563"/>
      <c r="F44" s="862"/>
      <c r="G44" s="563"/>
      <c r="H44" s="856"/>
      <c r="I44" s="563"/>
      <c r="J44" s="563"/>
      <c r="K44" s="563"/>
    </row>
    <row r="45" spans="1:11" ht="15.75">
      <c r="A45" s="857" t="s">
        <v>1081</v>
      </c>
      <c r="B45" s="862"/>
      <c r="C45" s="226"/>
      <c r="D45" s="862"/>
      <c r="E45" s="862"/>
      <c r="F45" s="862"/>
      <c r="G45" s="563"/>
      <c r="H45" s="856"/>
      <c r="I45" s="563"/>
      <c r="J45" s="563"/>
      <c r="K45" s="563"/>
    </row>
    <row r="46" spans="1:11" ht="15.75">
      <c r="A46" s="857" t="s">
        <v>1082</v>
      </c>
      <c r="B46" s="862"/>
      <c r="C46" s="226"/>
      <c r="D46" s="863"/>
      <c r="E46" s="863"/>
      <c r="F46" s="863"/>
      <c r="G46" s="563"/>
      <c r="H46" s="563"/>
      <c r="I46" s="563"/>
      <c r="J46" s="563"/>
      <c r="K46" s="563"/>
    </row>
    <row r="47" spans="1:11" ht="15">
      <c r="A47" s="1319" t="s">
        <v>772</v>
      </c>
      <c r="B47" s="1320"/>
      <c r="C47" s="1320"/>
      <c r="D47" s="1320"/>
      <c r="E47" s="1320"/>
      <c r="F47" s="1320"/>
      <c r="G47" s="1320"/>
      <c r="H47" s="1320"/>
      <c r="I47" s="1320"/>
      <c r="J47" s="1320"/>
      <c r="K47" s="563"/>
    </row>
    <row r="48" spans="1:11" ht="15">
      <c r="A48" s="1320"/>
      <c r="B48" s="1320"/>
      <c r="C48" s="1320"/>
      <c r="D48" s="1320"/>
      <c r="E48" s="1320"/>
      <c r="F48" s="1320"/>
      <c r="G48" s="1320"/>
      <c r="H48" s="1320"/>
      <c r="I48" s="1320"/>
      <c r="J48" s="1320"/>
      <c r="K48" s="563"/>
    </row>
    <row r="49" spans="1:11" ht="19.5" customHeight="1">
      <c r="A49" s="1320"/>
      <c r="B49" s="1320"/>
      <c r="C49" s="1320"/>
      <c r="D49" s="1320"/>
      <c r="E49" s="1320"/>
      <c r="F49" s="1320"/>
      <c r="G49" s="1320"/>
      <c r="H49" s="1320"/>
      <c r="I49" s="1320"/>
      <c r="J49" s="1320"/>
      <c r="K49" s="563"/>
    </row>
    <row r="50" spans="1:11" ht="15.75">
      <c r="A50" s="563"/>
      <c r="B50" s="862"/>
      <c r="C50" s="226"/>
      <c r="D50" s="863"/>
      <c r="E50" s="863"/>
      <c r="F50" s="863"/>
      <c r="G50" s="224"/>
      <c r="H50" s="563"/>
      <c r="I50" s="563"/>
      <c r="J50" s="563"/>
      <c r="K50" s="563"/>
    </row>
    <row r="51" spans="1:11" ht="15.75">
      <c r="A51" s="864" t="s">
        <v>414</v>
      </c>
      <c r="B51" s="856"/>
      <c r="C51" s="218"/>
      <c r="D51" s="563"/>
      <c r="E51" s="563"/>
      <c r="F51" s="563"/>
      <c r="G51" s="224"/>
      <c r="H51" s="563"/>
      <c r="I51" s="563"/>
      <c r="J51" s="563"/>
      <c r="K51" s="563"/>
    </row>
    <row r="52" spans="1:11" ht="15">
      <c r="A52" s="1089" t="s">
        <v>29</v>
      </c>
      <c r="B52" s="1090"/>
      <c r="C52" s="1090"/>
      <c r="D52" s="1091"/>
      <c r="E52" s="563"/>
      <c r="F52" s="563"/>
      <c r="G52" s="224"/>
      <c r="H52" s="563"/>
      <c r="I52" s="563"/>
      <c r="J52" s="563"/>
      <c r="K52" s="563"/>
    </row>
    <row r="53" spans="1:11" ht="15">
      <c r="A53" s="1321" t="s">
        <v>773</v>
      </c>
      <c r="B53" s="1321"/>
      <c r="C53" s="1321"/>
      <c r="D53" s="1321"/>
      <c r="E53" s="1321"/>
      <c r="F53" s="1321"/>
      <c r="G53" s="1321"/>
      <c r="H53" s="1321"/>
      <c r="I53" s="1321"/>
      <c r="J53" s="1321"/>
      <c r="K53" s="563"/>
    </row>
    <row r="54" spans="1:11" ht="15">
      <c r="A54" s="1321"/>
      <c r="B54" s="1321"/>
      <c r="C54" s="1321"/>
      <c r="D54" s="1321"/>
      <c r="E54" s="1321"/>
      <c r="F54" s="1321"/>
      <c r="G54" s="1321"/>
      <c r="H54" s="1321"/>
      <c r="I54" s="1321"/>
      <c r="J54" s="1321"/>
      <c r="K54" s="563"/>
    </row>
    <row r="55" spans="1:11" ht="15">
      <c r="A55" s="1317" t="s">
        <v>817</v>
      </c>
      <c r="B55" s="1317"/>
      <c r="C55" s="1317"/>
      <c r="D55" s="1317"/>
      <c r="E55" s="1317"/>
      <c r="F55" s="1317"/>
      <c r="G55" s="1317"/>
      <c r="H55" s="1317"/>
      <c r="I55" s="1317"/>
      <c r="J55" s="1317"/>
      <c r="K55" s="563"/>
    </row>
    <row r="56" spans="1:11" ht="15">
      <c r="A56" s="1317"/>
      <c r="B56" s="1317"/>
      <c r="C56" s="1317"/>
      <c r="D56" s="1317"/>
      <c r="E56" s="1317"/>
      <c r="F56" s="1317"/>
      <c r="G56" s="1317"/>
      <c r="H56" s="1317"/>
      <c r="I56" s="1317"/>
      <c r="J56" s="1317"/>
      <c r="K56" s="563"/>
    </row>
    <row r="57" spans="1:11" ht="15">
      <c r="A57" s="563"/>
      <c r="B57" s="563"/>
      <c r="C57" s="563"/>
      <c r="D57" s="563"/>
      <c r="E57" s="563"/>
      <c r="F57" s="563"/>
      <c r="G57" s="224"/>
      <c r="H57" s="563"/>
      <c r="I57" s="563"/>
      <c r="J57" s="563"/>
      <c r="K57" s="563"/>
    </row>
    <row r="58" spans="1:11" ht="15">
      <c r="A58" s="563"/>
      <c r="B58" s="563"/>
      <c r="C58" s="563"/>
      <c r="D58" s="563"/>
      <c r="E58" s="563"/>
      <c r="F58" s="563"/>
      <c r="G58" s="224"/>
      <c r="H58" s="563"/>
      <c r="I58" s="563"/>
      <c r="J58" s="563"/>
      <c r="K58" s="563"/>
    </row>
    <row r="59" spans="1:11" ht="15">
      <c r="A59" s="563"/>
      <c r="B59" s="563"/>
      <c r="C59" s="563"/>
      <c r="D59" s="563"/>
      <c r="E59" s="563"/>
      <c r="F59" s="563"/>
      <c r="G59" s="224"/>
      <c r="H59" s="563"/>
      <c r="I59" s="563"/>
      <c r="J59" s="563"/>
      <c r="K59" s="563"/>
    </row>
  </sheetData>
  <mergeCells count="13">
    <mergeCell ref="A8:K8"/>
    <mergeCell ref="A3:K3"/>
    <mergeCell ref="A4:K4"/>
    <mergeCell ref="A5:K5"/>
    <mergeCell ref="A6:K6"/>
    <mergeCell ref="A7:K7"/>
    <mergeCell ref="A55:J56"/>
    <mergeCell ref="A9:K9"/>
    <mergeCell ref="A10:K10"/>
    <mergeCell ref="C11:E11"/>
    <mergeCell ref="G11:I11"/>
    <mergeCell ref="A47:J49"/>
    <mergeCell ref="A53:J54"/>
  </mergeCells>
  <conditionalFormatting sqref="A3 A4:K9 A10 A51:J52 A53">
    <cfRule type="cellIs" dxfId="4" priority="1" stopIfTrue="1" operator="lessThan">
      <formula>0</formula>
    </cfRule>
  </conditionalFormatting>
  <pageMargins left="0.7" right="0.7" top="0.75" bottom="0.75" header="0.3" footer="0.3"/>
  <pageSetup scale="4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G49"/>
  <sheetViews>
    <sheetView tabSelected="1" view="pageBreakPreview" topLeftCell="A34" zoomScale="60" zoomScaleNormal="70" workbookViewId="0">
      <selection activeCell="D9" sqref="D9"/>
    </sheetView>
  </sheetViews>
  <sheetFormatPr defaultColWidth="9.140625" defaultRowHeight="12.75"/>
  <cols>
    <col min="1" max="1" width="33.5703125" style="855" customWidth="1"/>
    <col min="2" max="2" width="17.140625" style="855" customWidth="1"/>
    <col min="3" max="3" width="23.42578125" style="855" customWidth="1"/>
    <col min="4" max="4" width="9.140625" style="855"/>
    <col min="5" max="5" width="21.85546875" style="855" customWidth="1"/>
    <col min="6" max="16384" width="9.140625" style="855"/>
  </cols>
  <sheetData>
    <row r="1" spans="1:7" s="563" customFormat="1" ht="15.75">
      <c r="A1" s="669" t="s">
        <v>115</v>
      </c>
      <c r="G1" s="224"/>
    </row>
    <row r="2" spans="1:7" s="563" customFormat="1" ht="15.75">
      <c r="A2" s="669" t="s">
        <v>115</v>
      </c>
      <c r="G2" s="224"/>
    </row>
    <row r="3" spans="1:7" ht="19.5">
      <c r="A3" s="563"/>
      <c r="B3" s="1323" t="s">
        <v>392</v>
      </c>
      <c r="C3" s="1323"/>
      <c r="D3" s="1323"/>
      <c r="E3" s="1323"/>
    </row>
    <row r="4" spans="1:7" ht="19.5">
      <c r="A4" s="563"/>
      <c r="B4" s="1323" t="s">
        <v>774</v>
      </c>
      <c r="C4" s="1323"/>
      <c r="D4" s="1323"/>
      <c r="E4" s="1323"/>
    </row>
    <row r="5" spans="1:7" ht="19.5">
      <c r="A5" s="563"/>
      <c r="B5" s="1323" t="s">
        <v>775</v>
      </c>
      <c r="C5" s="1323"/>
      <c r="D5" s="1323"/>
      <c r="E5" s="1323"/>
    </row>
    <row r="6" spans="1:7" ht="19.5">
      <c r="A6" s="563"/>
      <c r="B6" s="1323" t="s">
        <v>776</v>
      </c>
      <c r="C6" s="1323"/>
      <c r="D6" s="1323"/>
      <c r="E6" s="1323"/>
    </row>
    <row r="7" spans="1:7" ht="19.5">
      <c r="A7" s="563"/>
      <c r="B7" s="1323" t="s">
        <v>777</v>
      </c>
      <c r="C7" s="1323"/>
      <c r="D7" s="1323"/>
      <c r="E7" s="1323"/>
    </row>
    <row r="8" spans="1:7" ht="19.5">
      <c r="A8" s="563"/>
      <c r="B8" s="1323" t="s">
        <v>778</v>
      </c>
      <c r="C8" s="1323"/>
      <c r="D8" s="1323"/>
      <c r="E8" s="1323"/>
    </row>
    <row r="9" spans="1:7" ht="15">
      <c r="A9" s="563"/>
      <c r="B9" s="856"/>
      <c r="C9" s="856"/>
      <c r="D9" s="566" t="s">
        <v>115</v>
      </c>
      <c r="E9" s="563"/>
    </row>
    <row r="10" spans="1:7" ht="15.75">
      <c r="A10" s="856"/>
      <c r="B10" s="865" t="s">
        <v>400</v>
      </c>
      <c r="C10" s="563"/>
      <c r="D10" s="563"/>
      <c r="E10" s="866"/>
    </row>
    <row r="11" spans="1:7" ht="15.75">
      <c r="A11" s="566"/>
      <c r="B11" s="865" t="s">
        <v>404</v>
      </c>
      <c r="C11" s="865" t="s">
        <v>405</v>
      </c>
      <c r="D11" s="865"/>
      <c r="E11" s="563"/>
    </row>
    <row r="12" spans="1:7" ht="15.75" thickBot="1">
      <c r="A12" s="859"/>
      <c r="B12" s="856"/>
      <c r="C12" s="867" t="s">
        <v>500</v>
      </c>
      <c r="D12" s="563"/>
      <c r="E12" s="563"/>
    </row>
    <row r="13" spans="1:7" ht="15">
      <c r="A13" s="573" t="s">
        <v>407</v>
      </c>
      <c r="B13" s="861"/>
      <c r="C13" s="219"/>
      <c r="D13" s="563"/>
      <c r="E13" s="563"/>
    </row>
    <row r="14" spans="1:7" ht="15">
      <c r="A14" s="563"/>
      <c r="B14" s="868"/>
      <c r="C14" s="218"/>
      <c r="D14" s="869"/>
      <c r="E14" s="563"/>
    </row>
    <row r="15" spans="1:7" ht="15">
      <c r="A15" s="563" t="s">
        <v>408</v>
      </c>
      <c r="B15" s="223">
        <v>352</v>
      </c>
      <c r="C15" s="218">
        <v>1.04E-2</v>
      </c>
      <c r="D15" s="869"/>
      <c r="E15" s="563"/>
    </row>
    <row r="16" spans="1:7" ht="15">
      <c r="A16" s="563" t="s">
        <v>409</v>
      </c>
      <c r="B16" s="223">
        <v>353</v>
      </c>
      <c r="C16" s="218">
        <v>1.49E-2</v>
      </c>
      <c r="D16" s="869"/>
      <c r="E16" s="563"/>
    </row>
    <row r="17" spans="1:5" ht="15">
      <c r="A17" s="563" t="s">
        <v>410</v>
      </c>
      <c r="B17" s="223">
        <v>354</v>
      </c>
      <c r="C17" s="218">
        <v>1.1999999999999999E-3</v>
      </c>
      <c r="D17" s="869"/>
      <c r="E17" s="563"/>
    </row>
    <row r="18" spans="1:5" ht="15">
      <c r="A18" s="563" t="s">
        <v>411</v>
      </c>
      <c r="B18" s="223">
        <v>355</v>
      </c>
      <c r="C18" s="218">
        <v>2.1399999999999999E-2</v>
      </c>
      <c r="D18" s="869"/>
      <c r="E18" s="563"/>
    </row>
    <row r="19" spans="1:5" ht="15">
      <c r="A19" s="563" t="s">
        <v>770</v>
      </c>
      <c r="B19" s="223">
        <v>356</v>
      </c>
      <c r="C19" s="218">
        <v>7.7000000000000002E-3</v>
      </c>
      <c r="D19" s="869"/>
      <c r="E19" s="563"/>
    </row>
    <row r="20" spans="1:5" ht="15">
      <c r="A20" s="563" t="s">
        <v>412</v>
      </c>
      <c r="B20" s="223">
        <v>357</v>
      </c>
      <c r="C20" s="870" t="s">
        <v>614</v>
      </c>
      <c r="D20" s="563"/>
      <c r="E20" s="563"/>
    </row>
    <row r="21" spans="1:5" ht="15">
      <c r="A21" s="563" t="s">
        <v>413</v>
      </c>
      <c r="B21" s="223">
        <v>358</v>
      </c>
      <c r="C21" s="870" t="s">
        <v>614</v>
      </c>
      <c r="D21" s="869"/>
      <c r="E21" s="563"/>
    </row>
    <row r="22" spans="1:5" ht="15.75">
      <c r="A22" s="857" t="s">
        <v>779</v>
      </c>
      <c r="B22" s="871"/>
      <c r="C22" s="872">
        <v>1.46E-2</v>
      </c>
      <c r="D22" s="869"/>
      <c r="E22" s="563"/>
    </row>
    <row r="23" spans="1:5" ht="15.75">
      <c r="A23" s="857"/>
      <c r="B23" s="871"/>
      <c r="C23" s="872"/>
      <c r="D23" s="869"/>
      <c r="E23" s="563"/>
    </row>
    <row r="24" spans="1:5" customFormat="1" ht="15.75">
      <c r="A24" s="480" t="s">
        <v>801</v>
      </c>
      <c r="C24" s="1"/>
    </row>
    <row r="25" spans="1:5" customFormat="1">
      <c r="C25" s="1"/>
    </row>
    <row r="26" spans="1:5" customFormat="1" ht="15">
      <c r="A26" s="876" t="s">
        <v>802</v>
      </c>
      <c r="B26" s="880">
        <v>390</v>
      </c>
      <c r="C26" s="879">
        <v>1.7100000000000001E-2</v>
      </c>
    </row>
    <row r="27" spans="1:5" customFormat="1" ht="15">
      <c r="A27" s="876" t="s">
        <v>803</v>
      </c>
      <c r="B27" s="880">
        <v>391</v>
      </c>
      <c r="C27" s="879">
        <v>2.8199999999999999E-2</v>
      </c>
    </row>
    <row r="28" spans="1:5" customFormat="1" ht="15">
      <c r="A28" s="876" t="s">
        <v>804</v>
      </c>
      <c r="B28" s="880">
        <v>393</v>
      </c>
      <c r="C28" s="879">
        <v>2.2200000000000001E-2</v>
      </c>
    </row>
    <row r="29" spans="1:5" customFormat="1" ht="15">
      <c r="A29" s="876" t="s">
        <v>805</v>
      </c>
      <c r="B29" s="880">
        <v>394</v>
      </c>
      <c r="C29" s="879">
        <v>3.1199999999999999E-2</v>
      </c>
    </row>
    <row r="30" spans="1:5" customFormat="1" ht="15">
      <c r="A30" s="876" t="s">
        <v>806</v>
      </c>
      <c r="B30" s="880">
        <v>395</v>
      </c>
      <c r="C30" s="879">
        <v>3.1699999999999999E-2</v>
      </c>
    </row>
    <row r="31" spans="1:5" customFormat="1" ht="15">
      <c r="A31" s="876" t="s">
        <v>807</v>
      </c>
      <c r="B31" s="880">
        <v>397</v>
      </c>
      <c r="C31" s="879">
        <v>3.32E-2</v>
      </c>
    </row>
    <row r="32" spans="1:5" customFormat="1" ht="15">
      <c r="A32" s="876" t="s">
        <v>808</v>
      </c>
      <c r="B32" s="880">
        <v>398</v>
      </c>
      <c r="C32" s="879">
        <v>4.9200000000000001E-2</v>
      </c>
    </row>
    <row r="33" spans="1:5" customFormat="1" ht="15">
      <c r="A33" s="30"/>
      <c r="B33" s="876"/>
      <c r="C33" s="879"/>
    </row>
    <row r="34" spans="1:5" customFormat="1" ht="15.75">
      <c r="A34" s="30"/>
      <c r="B34" s="878" t="s">
        <v>809</v>
      </c>
      <c r="C34" s="879">
        <v>3.2500000000000001E-2</v>
      </c>
    </row>
    <row r="35" spans="1:5" customFormat="1" ht="15.75">
      <c r="A35" s="30"/>
      <c r="B35" s="878"/>
      <c r="C35" s="877"/>
    </row>
    <row r="36" spans="1:5" ht="15.75">
      <c r="A36" s="563" t="s">
        <v>780</v>
      </c>
      <c r="B36" s="862"/>
      <c r="C36" s="226"/>
      <c r="D36" s="563"/>
      <c r="E36" s="563"/>
    </row>
    <row r="37" spans="1:5" ht="15">
      <c r="A37" s="1324"/>
      <c r="B37" s="1324"/>
      <c r="C37" s="1324"/>
      <c r="D37" s="1324"/>
      <c r="E37" s="563"/>
    </row>
    <row r="38" spans="1:5" ht="15">
      <c r="A38" s="1324" t="s">
        <v>781</v>
      </c>
      <c r="B38" s="1324"/>
      <c r="C38" s="1324"/>
      <c r="D38" s="1324"/>
      <c r="E38" s="563"/>
    </row>
    <row r="39" spans="1:5" ht="15">
      <c r="A39" s="563" t="s">
        <v>159</v>
      </c>
      <c r="B39" s="563"/>
      <c r="C39" s="563"/>
      <c r="D39" s="563"/>
      <c r="E39" s="563"/>
    </row>
    <row r="40" spans="1:5" ht="15">
      <c r="A40" s="1324" t="s">
        <v>782</v>
      </c>
      <c r="B40" s="1324"/>
      <c r="C40" s="1324"/>
      <c r="D40" s="563"/>
      <c r="E40" s="563"/>
    </row>
    <row r="41" spans="1:5" ht="15">
      <c r="A41" s="1324"/>
      <c r="B41" s="1324"/>
      <c r="C41" s="1324"/>
      <c r="D41" s="563"/>
      <c r="E41" s="563"/>
    </row>
    <row r="42" spans="1:5" ht="15">
      <c r="A42" s="563"/>
      <c r="B42" s="856"/>
      <c r="C42" s="218"/>
      <c r="D42" s="563"/>
      <c r="E42" s="563"/>
    </row>
    <row r="43" spans="1:5" ht="15">
      <c r="A43" s="1324"/>
      <c r="B43" s="1324"/>
      <c r="C43" s="1324"/>
      <c r="D43" s="1324"/>
      <c r="E43" s="563"/>
    </row>
    <row r="44" spans="1:5" ht="15.75">
      <c r="A44" s="864" t="s">
        <v>783</v>
      </c>
      <c r="B44" s="856"/>
      <c r="C44" s="218"/>
      <c r="D44" s="563"/>
      <c r="E44" s="563"/>
    </row>
    <row r="45" spans="1:5" ht="15">
      <c r="A45" s="1322" t="s">
        <v>817</v>
      </c>
      <c r="B45" s="1322"/>
      <c r="C45" s="1322"/>
      <c r="D45" s="866"/>
      <c r="E45" s="563"/>
    </row>
    <row r="46" spans="1:5" ht="15">
      <c r="A46" s="1322"/>
      <c r="B46" s="1322"/>
      <c r="C46" s="1322"/>
      <c r="D46" s="866"/>
      <c r="E46" s="563"/>
    </row>
    <row r="47" spans="1:5" ht="15">
      <c r="A47" s="1322"/>
      <c r="B47" s="1322"/>
      <c r="C47" s="1322"/>
      <c r="D47" s="866"/>
      <c r="E47" s="563"/>
    </row>
    <row r="48" spans="1:5" ht="15">
      <c r="A48" s="1322"/>
      <c r="B48" s="1322"/>
      <c r="C48" s="1322"/>
      <c r="D48" s="866"/>
      <c r="E48" s="563"/>
    </row>
    <row r="49" spans="1:5" ht="15">
      <c r="A49" s="1322"/>
      <c r="B49" s="1322"/>
      <c r="C49" s="1322"/>
      <c r="D49" s="866"/>
      <c r="E49" s="563"/>
    </row>
  </sheetData>
  <mergeCells count="11">
    <mergeCell ref="A45:C49"/>
    <mergeCell ref="B3:E3"/>
    <mergeCell ref="B4:E4"/>
    <mergeCell ref="B5:E5"/>
    <mergeCell ref="B6:E6"/>
    <mergeCell ref="B7:E7"/>
    <mergeCell ref="B8:E8"/>
    <mergeCell ref="A37:D37"/>
    <mergeCell ref="A38:D38"/>
    <mergeCell ref="A40:C41"/>
    <mergeCell ref="A43:D43"/>
  </mergeCells>
  <conditionalFormatting sqref="B3:E4">
    <cfRule type="cellIs" dxfId="3" priority="1" stopIfTrue="1" operator="lessThan">
      <formula>0</formula>
    </cfRule>
  </conditionalFormatting>
  <pageMargins left="0.7" right="0.7" top="0.75" bottom="0.75" header="0.3" footer="0.3"/>
  <pageSetup scale="7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G33"/>
  <sheetViews>
    <sheetView tabSelected="1" view="pageBreakPreview" zoomScale="60" zoomScaleNormal="70" workbookViewId="0">
      <selection activeCell="D9" sqref="D9"/>
    </sheetView>
  </sheetViews>
  <sheetFormatPr defaultColWidth="9.140625" defaultRowHeight="12.75"/>
  <cols>
    <col min="1" max="1" width="9.140625" style="855"/>
    <col min="2" max="2" width="38.5703125" style="855" customWidth="1"/>
    <col min="3" max="3" width="21.85546875" style="855" customWidth="1"/>
    <col min="4" max="4" width="25.85546875" style="855" customWidth="1"/>
    <col min="5" max="16384" width="9.140625" style="855"/>
  </cols>
  <sheetData>
    <row r="1" spans="1:7" s="563" customFormat="1" ht="15.75">
      <c r="A1" s="669" t="s">
        <v>115</v>
      </c>
      <c r="G1" s="224"/>
    </row>
    <row r="2" spans="1:7" s="563" customFormat="1" ht="15.75">
      <c r="A2" s="669" t="s">
        <v>115</v>
      </c>
      <c r="G2" s="224"/>
    </row>
    <row r="3" spans="1:7" ht="19.5">
      <c r="A3" s="563"/>
      <c r="B3" s="1323" t="s">
        <v>392</v>
      </c>
      <c r="C3" s="1323"/>
      <c r="D3" s="1323"/>
      <c r="E3" s="1323"/>
    </row>
    <row r="4" spans="1:7" ht="19.5">
      <c r="A4" s="563"/>
      <c r="B4" s="1323" t="s">
        <v>774</v>
      </c>
      <c r="C4" s="1323"/>
      <c r="D4" s="1323"/>
      <c r="E4" s="1323"/>
    </row>
    <row r="5" spans="1:7" ht="19.5">
      <c r="A5" s="563"/>
      <c r="B5" s="1323" t="s">
        <v>775</v>
      </c>
      <c r="C5" s="1323"/>
      <c r="D5" s="1323"/>
      <c r="E5" s="1323"/>
    </row>
    <row r="6" spans="1:7" ht="19.5">
      <c r="A6" s="563"/>
      <c r="B6" s="1323" t="s">
        <v>784</v>
      </c>
      <c r="C6" s="1323"/>
      <c r="D6" s="1323"/>
      <c r="E6" s="1323"/>
    </row>
    <row r="7" spans="1:7" ht="19.5">
      <c r="A7" s="563"/>
      <c r="B7" s="1323" t="s">
        <v>777</v>
      </c>
      <c r="C7" s="1323"/>
      <c r="D7" s="1323"/>
      <c r="E7" s="1323"/>
    </row>
    <row r="8" spans="1:7" ht="19.5">
      <c r="A8" s="563"/>
      <c r="B8" s="1323" t="s">
        <v>785</v>
      </c>
      <c r="C8" s="1323"/>
      <c r="D8" s="1323"/>
      <c r="E8" s="1323"/>
    </row>
    <row r="9" spans="1:7" ht="15">
      <c r="A9" s="563"/>
      <c r="B9" s="856"/>
      <c r="C9" s="856"/>
      <c r="D9" s="566" t="s">
        <v>115</v>
      </c>
      <c r="E9" s="563"/>
    </row>
    <row r="10" spans="1:7" ht="15.75">
      <c r="A10" s="563"/>
      <c r="B10" s="856"/>
      <c r="C10" s="865" t="s">
        <v>400</v>
      </c>
      <c r="D10" s="563"/>
      <c r="E10" s="563"/>
    </row>
    <row r="11" spans="1:7" ht="15.75">
      <c r="A11" s="563"/>
      <c r="B11" s="566"/>
      <c r="C11" s="865" t="s">
        <v>404</v>
      </c>
      <c r="D11" s="865" t="s">
        <v>405</v>
      </c>
      <c r="E11" s="865"/>
    </row>
    <row r="12" spans="1:7" ht="15.75" thickBot="1">
      <c r="A12" s="563"/>
      <c r="B12" s="859"/>
      <c r="C12" s="856"/>
      <c r="D12" s="867" t="s">
        <v>500</v>
      </c>
      <c r="E12" s="563"/>
    </row>
    <row r="13" spans="1:7" ht="15">
      <c r="A13" s="563"/>
      <c r="B13" s="573" t="s">
        <v>407</v>
      </c>
      <c r="C13" s="861"/>
      <c r="D13" s="219"/>
      <c r="E13" s="563"/>
    </row>
    <row r="14" spans="1:7" ht="15">
      <c r="A14" s="563"/>
      <c r="B14" s="563"/>
      <c r="C14" s="868"/>
      <c r="D14" s="218"/>
      <c r="E14" s="869"/>
    </row>
    <row r="15" spans="1:7" ht="15">
      <c r="A15" s="563"/>
      <c r="B15" s="563" t="s">
        <v>786</v>
      </c>
      <c r="C15" s="563">
        <v>350.1</v>
      </c>
      <c r="D15" s="218">
        <v>1.44E-2</v>
      </c>
      <c r="E15" s="869"/>
    </row>
    <row r="16" spans="1:7" ht="15">
      <c r="A16" s="563"/>
      <c r="B16" s="563" t="s">
        <v>408</v>
      </c>
      <c r="C16" s="223">
        <v>352</v>
      </c>
      <c r="D16" s="218">
        <v>2.0799999999999999E-2</v>
      </c>
      <c r="E16" s="869"/>
    </row>
    <row r="17" spans="1:5" ht="15">
      <c r="A17" s="563"/>
      <c r="B17" s="563" t="s">
        <v>409</v>
      </c>
      <c r="C17" s="223">
        <v>353</v>
      </c>
      <c r="D17" s="218">
        <v>2.1499999999999998E-2</v>
      </c>
      <c r="E17" s="869"/>
    </row>
    <row r="18" spans="1:5" ht="15">
      <c r="A18" s="563"/>
      <c r="B18" s="563" t="s">
        <v>410</v>
      </c>
      <c r="C18" s="223">
        <v>354</v>
      </c>
      <c r="D18" s="218">
        <v>2.6100000000000002E-2</v>
      </c>
      <c r="E18" s="869"/>
    </row>
    <row r="19" spans="1:5" ht="15">
      <c r="A19" s="563"/>
      <c r="B19" s="563" t="s">
        <v>411</v>
      </c>
      <c r="C19" s="223">
        <v>355</v>
      </c>
      <c r="D19" s="218">
        <v>3.95E-2</v>
      </c>
      <c r="E19" s="869"/>
    </row>
    <row r="20" spans="1:5" ht="15">
      <c r="A20" s="563"/>
      <c r="B20" s="563" t="s">
        <v>770</v>
      </c>
      <c r="C20" s="223">
        <v>356</v>
      </c>
      <c r="D20" s="218">
        <v>2.9100000000000001E-2</v>
      </c>
      <c r="E20" s="869"/>
    </row>
    <row r="21" spans="1:5" ht="15">
      <c r="A21" s="563"/>
      <c r="B21" s="563" t="s">
        <v>412</v>
      </c>
      <c r="C21" s="223">
        <v>357</v>
      </c>
      <c r="D21" s="218">
        <v>2.9899999999999999E-2</v>
      </c>
      <c r="E21" s="869"/>
    </row>
    <row r="22" spans="1:5" ht="15">
      <c r="A22" s="563"/>
      <c r="B22" s="563" t="s">
        <v>413</v>
      </c>
      <c r="C22" s="223">
        <v>358</v>
      </c>
      <c r="D22" s="218">
        <v>2.6200000000000001E-2</v>
      </c>
      <c r="E22" s="869"/>
    </row>
    <row r="23" spans="1:5" ht="15">
      <c r="A23" s="563"/>
      <c r="B23" s="563"/>
      <c r="C23" s="856"/>
      <c r="D23" s="218"/>
      <c r="E23" s="563"/>
    </row>
    <row r="24" spans="1:5" ht="15.75">
      <c r="A24" s="563"/>
      <c r="B24" s="563" t="s">
        <v>780</v>
      </c>
      <c r="C24" s="862"/>
      <c r="D24" s="226"/>
      <c r="E24" s="563"/>
    </row>
    <row r="25" spans="1:5" ht="15">
      <c r="A25" s="563"/>
      <c r="B25" s="1324"/>
      <c r="C25" s="1324"/>
      <c r="D25" s="1324"/>
      <c r="E25" s="1324"/>
    </row>
    <row r="26" spans="1:5" ht="15">
      <c r="A26" s="563"/>
      <c r="B26" s="1324" t="s">
        <v>787</v>
      </c>
      <c r="C26" s="1324"/>
      <c r="D26" s="1324"/>
      <c r="E26" s="1324"/>
    </row>
    <row r="27" spans="1:5" ht="15">
      <c r="A27" s="563"/>
      <c r="B27" s="1324"/>
      <c r="C27" s="1324"/>
      <c r="D27" s="1324"/>
      <c r="E27" s="1324"/>
    </row>
    <row r="28" spans="1:5" ht="15.75">
      <c r="A28" s="563"/>
      <c r="B28" s="864" t="s">
        <v>783</v>
      </c>
      <c r="C28" s="856"/>
      <c r="D28" s="218"/>
      <c r="E28" s="563"/>
    </row>
    <row r="29" spans="1:5" ht="15">
      <c r="A29" s="563"/>
      <c r="B29" s="1322" t="s">
        <v>817</v>
      </c>
      <c r="C29" s="1322"/>
      <c r="D29" s="1322"/>
      <c r="E29" s="866"/>
    </row>
    <row r="30" spans="1:5" ht="15">
      <c r="A30" s="563"/>
      <c r="B30" s="1322"/>
      <c r="C30" s="1322"/>
      <c r="D30" s="1322"/>
      <c r="E30" s="866"/>
    </row>
    <row r="31" spans="1:5" ht="15">
      <c r="A31" s="563"/>
      <c r="B31" s="1322"/>
      <c r="C31" s="1322"/>
      <c r="D31" s="1322"/>
      <c r="E31" s="866"/>
    </row>
    <row r="32" spans="1:5" ht="15">
      <c r="A32" s="563"/>
      <c r="B32" s="1322"/>
      <c r="C32" s="1322"/>
      <c r="D32" s="1322"/>
      <c r="E32" s="866"/>
    </row>
    <row r="33" spans="1:5" ht="15">
      <c r="A33" s="563"/>
      <c r="B33" s="1322"/>
      <c r="C33" s="1322"/>
      <c r="D33" s="1322"/>
      <c r="E33" s="866"/>
    </row>
  </sheetData>
  <mergeCells count="10">
    <mergeCell ref="B25:E25"/>
    <mergeCell ref="B26:E26"/>
    <mergeCell ref="B27:E27"/>
    <mergeCell ref="B29:D33"/>
    <mergeCell ref="B3:E3"/>
    <mergeCell ref="B4:E4"/>
    <mergeCell ref="B5:E5"/>
    <mergeCell ref="B6:E6"/>
    <mergeCell ref="B7:E7"/>
    <mergeCell ref="B8:E8"/>
  </mergeCells>
  <conditionalFormatting sqref="B3:E4">
    <cfRule type="cellIs" dxfId="2" priority="1" stopIfTrue="1" operator="lessThan">
      <formula>0</formula>
    </cfRule>
  </conditionalFormatting>
  <pageMargins left="0.7" right="0.7" top="0.75" bottom="0.75" header="0.3" footer="0.3"/>
  <pageSetup scale="8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G47"/>
  <sheetViews>
    <sheetView tabSelected="1" view="pageBreakPreview" zoomScale="60" zoomScaleNormal="70" workbookViewId="0">
      <selection activeCell="D9" sqref="D9"/>
    </sheetView>
  </sheetViews>
  <sheetFormatPr defaultColWidth="9.140625" defaultRowHeight="12.75"/>
  <cols>
    <col min="1" max="1" width="38.85546875" style="855" customWidth="1"/>
    <col min="2" max="2" width="28.42578125" style="855" customWidth="1"/>
    <col min="3" max="3" width="23.140625" style="855" customWidth="1"/>
    <col min="4" max="16384" width="9.140625" style="855"/>
  </cols>
  <sheetData>
    <row r="1" spans="1:7" s="563" customFormat="1" ht="15.75">
      <c r="A1" s="669" t="s">
        <v>115</v>
      </c>
      <c r="G1" s="224"/>
    </row>
    <row r="2" spans="1:7" s="563" customFormat="1" ht="15.75">
      <c r="A2" s="669" t="s">
        <v>115</v>
      </c>
      <c r="G2" s="224"/>
    </row>
    <row r="3" spans="1:7" ht="19.5">
      <c r="A3" s="1323" t="s">
        <v>392</v>
      </c>
      <c r="B3" s="1323"/>
      <c r="C3" s="1323"/>
      <c r="D3" s="1323"/>
    </row>
    <row r="4" spans="1:7" ht="19.5">
      <c r="A4" s="1323" t="s">
        <v>774</v>
      </c>
      <c r="B4" s="1323"/>
      <c r="C4" s="1323"/>
      <c r="D4" s="1323"/>
    </row>
    <row r="5" spans="1:7" ht="19.5">
      <c r="A5" s="1323" t="s">
        <v>775</v>
      </c>
      <c r="B5" s="1323"/>
      <c r="C5" s="1323"/>
      <c r="D5" s="1323"/>
    </row>
    <row r="6" spans="1:7" ht="19.5">
      <c r="A6" s="1323" t="s">
        <v>1182</v>
      </c>
      <c r="B6" s="1323"/>
      <c r="C6" s="1323"/>
      <c r="D6" s="1323"/>
    </row>
    <row r="7" spans="1:7" ht="19.5">
      <c r="A7" s="1323" t="s">
        <v>777</v>
      </c>
      <c r="B7" s="1323"/>
      <c r="C7" s="1323"/>
      <c r="D7" s="1323"/>
    </row>
    <row r="8" spans="1:7" ht="19.5">
      <c r="A8" s="1323" t="s">
        <v>788</v>
      </c>
      <c r="B8" s="1323"/>
      <c r="C8" s="1323"/>
      <c r="D8" s="1323"/>
    </row>
    <row r="9" spans="1:7" ht="15">
      <c r="A9" s="856"/>
      <c r="B9" s="856"/>
      <c r="C9" s="566" t="s">
        <v>115</v>
      </c>
      <c r="D9" s="563"/>
    </row>
    <row r="10" spans="1:7" ht="15.75">
      <c r="A10" s="856"/>
      <c r="B10" s="865" t="s">
        <v>400</v>
      </c>
      <c r="C10" s="563"/>
      <c r="D10" s="563"/>
    </row>
    <row r="11" spans="1:7" ht="15.75">
      <c r="A11" s="566"/>
      <c r="B11" s="865" t="s">
        <v>404</v>
      </c>
      <c r="C11" s="865" t="s">
        <v>405</v>
      </c>
      <c r="D11" s="865"/>
    </row>
    <row r="12" spans="1:7" ht="15.75" thickBot="1">
      <c r="A12" s="859"/>
      <c r="B12" s="856"/>
      <c r="C12" s="867" t="s">
        <v>500</v>
      </c>
      <c r="D12" s="563"/>
    </row>
    <row r="13" spans="1:7" ht="15">
      <c r="A13" s="573" t="s">
        <v>407</v>
      </c>
      <c r="B13" s="861"/>
      <c r="C13" s="219"/>
      <c r="D13" s="563"/>
    </row>
    <row r="14" spans="1:7" ht="15">
      <c r="A14" s="563" t="s">
        <v>408</v>
      </c>
      <c r="B14" s="223">
        <v>352</v>
      </c>
      <c r="C14" s="218">
        <v>2.0199999999999999E-2</v>
      </c>
      <c r="D14" s="869"/>
    </row>
    <row r="15" spans="1:7" ht="15">
      <c r="A15" s="563" t="s">
        <v>409</v>
      </c>
      <c r="B15" s="223">
        <v>353</v>
      </c>
      <c r="C15" s="218">
        <v>2.29E-2</v>
      </c>
      <c r="D15" s="869"/>
    </row>
    <row r="16" spans="1:7" ht="15">
      <c r="A16" s="868"/>
      <c r="B16" s="223"/>
      <c r="C16" s="218"/>
      <c r="D16" s="869"/>
    </row>
    <row r="17" spans="1:4" ht="15">
      <c r="A17" s="563" t="s">
        <v>789</v>
      </c>
      <c r="B17" s="223">
        <v>354</v>
      </c>
      <c r="C17" s="218">
        <v>1.8800000000000001E-2</v>
      </c>
      <c r="D17" s="869"/>
    </row>
    <row r="18" spans="1:4" ht="15">
      <c r="A18" s="563" t="s">
        <v>790</v>
      </c>
      <c r="B18" s="223">
        <v>354</v>
      </c>
      <c r="C18" s="218">
        <v>1.8800000000000001E-2</v>
      </c>
      <c r="D18" s="869"/>
    </row>
    <row r="19" spans="1:4" ht="15">
      <c r="A19" s="563"/>
      <c r="B19" s="223"/>
      <c r="C19" s="218"/>
      <c r="D19" s="869"/>
    </row>
    <row r="20" spans="1:4" ht="15">
      <c r="A20" s="563" t="s">
        <v>791</v>
      </c>
      <c r="B20" s="223">
        <v>355</v>
      </c>
      <c r="C20" s="218">
        <v>3.5200000000000002E-2</v>
      </c>
      <c r="D20" s="869"/>
    </row>
    <row r="21" spans="1:4" ht="15">
      <c r="A21" s="563" t="s">
        <v>792</v>
      </c>
      <c r="B21" s="223">
        <v>355</v>
      </c>
      <c r="C21" s="218">
        <v>3.5200000000000002E-2</v>
      </c>
      <c r="D21" s="869"/>
    </row>
    <row r="22" spans="1:4" ht="15">
      <c r="A22" s="563"/>
      <c r="B22" s="223"/>
      <c r="C22" s="218"/>
      <c r="D22" s="869"/>
    </row>
    <row r="23" spans="1:4" ht="15">
      <c r="A23" s="563" t="s">
        <v>793</v>
      </c>
      <c r="B23" s="223">
        <v>356</v>
      </c>
      <c r="C23" s="218">
        <v>1.9099999999999999E-2</v>
      </c>
      <c r="D23" s="869"/>
    </row>
    <row r="24" spans="1:4" ht="15">
      <c r="A24" s="563" t="s">
        <v>794</v>
      </c>
      <c r="B24" s="223">
        <v>356</v>
      </c>
      <c r="C24" s="218">
        <v>1.9099999999999999E-2</v>
      </c>
      <c r="D24" s="869"/>
    </row>
    <row r="25" spans="1:4" ht="15">
      <c r="A25" s="563" t="s">
        <v>795</v>
      </c>
      <c r="B25" s="223">
        <v>356</v>
      </c>
      <c r="C25" s="218">
        <v>1.9099999999999999E-2</v>
      </c>
      <c r="D25" s="869"/>
    </row>
    <row r="26" spans="1:4" ht="15">
      <c r="A26" s="563" t="s">
        <v>796</v>
      </c>
      <c r="B26" s="223">
        <v>356</v>
      </c>
      <c r="C26" s="218">
        <v>1.9099999999999999E-2</v>
      </c>
      <c r="D26" s="869"/>
    </row>
    <row r="27" spans="1:4" ht="15">
      <c r="A27" s="563" t="s">
        <v>797</v>
      </c>
      <c r="B27" s="223">
        <v>356</v>
      </c>
      <c r="C27" s="218">
        <v>1.9099999999999999E-2</v>
      </c>
      <c r="D27" s="869"/>
    </row>
    <row r="28" spans="1:4" ht="15">
      <c r="A28" s="563"/>
      <c r="B28" s="223"/>
      <c r="C28" s="218"/>
      <c r="D28" s="869"/>
    </row>
    <row r="29" spans="1:4" ht="15">
      <c r="A29" s="563" t="s">
        <v>412</v>
      </c>
      <c r="B29" s="223">
        <v>357</v>
      </c>
      <c r="C29" s="218">
        <v>2.2599999999999999E-2</v>
      </c>
      <c r="D29" s="869"/>
    </row>
    <row r="30" spans="1:4" ht="15">
      <c r="A30" s="563" t="s">
        <v>413</v>
      </c>
      <c r="B30" s="223">
        <v>358</v>
      </c>
      <c r="C30" s="218">
        <v>3.27E-2</v>
      </c>
      <c r="D30" s="869"/>
    </row>
    <row r="31" spans="1:4" ht="15">
      <c r="A31" s="868"/>
      <c r="B31" s="856"/>
      <c r="C31" s="218"/>
      <c r="D31" s="563"/>
    </row>
    <row r="32" spans="1:4" ht="15.75" thickBot="1">
      <c r="A32" s="873"/>
      <c r="B32" s="874"/>
      <c r="C32" s="875"/>
      <c r="D32" s="563"/>
    </row>
    <row r="33" spans="1:4" ht="15">
      <c r="A33" s="859"/>
      <c r="B33" s="856"/>
      <c r="C33" s="218"/>
      <c r="D33" s="563"/>
    </row>
    <row r="34" spans="1:4" ht="15">
      <c r="A34" s="563"/>
      <c r="B34" s="856"/>
      <c r="C34" s="218"/>
      <c r="D34" s="563"/>
    </row>
    <row r="35" spans="1:4" ht="15.75">
      <c r="A35" s="563" t="s">
        <v>780</v>
      </c>
      <c r="B35" s="862"/>
      <c r="C35" s="226"/>
      <c r="D35" s="563"/>
    </row>
    <row r="36" spans="1:4" ht="15">
      <c r="A36" s="563"/>
      <c r="B36" s="563"/>
      <c r="C36" s="563"/>
      <c r="D36" s="563"/>
    </row>
    <row r="37" spans="1:4" ht="15" customHeight="1">
      <c r="A37" s="1324" t="s">
        <v>1180</v>
      </c>
      <c r="B37" s="1324"/>
      <c r="C37" s="1324"/>
      <c r="D37" s="1324"/>
    </row>
    <row r="38" spans="1:4" ht="15">
      <c r="A38" s="563" t="s">
        <v>1181</v>
      </c>
      <c r="B38" s="563"/>
      <c r="C38" s="563"/>
      <c r="D38" s="563"/>
    </row>
    <row r="39" spans="1:4" ht="15">
      <c r="A39" s="563"/>
      <c r="B39" s="563"/>
      <c r="C39" s="563"/>
      <c r="D39" s="563"/>
    </row>
    <row r="40" spans="1:4" ht="15">
      <c r="A40" s="563"/>
      <c r="B40" s="563"/>
      <c r="C40" s="563"/>
      <c r="D40" s="563"/>
    </row>
    <row r="41" spans="1:4" ht="15.75">
      <c r="A41" s="864" t="s">
        <v>798</v>
      </c>
      <c r="B41" s="856"/>
      <c r="C41" s="218"/>
      <c r="D41" s="563"/>
    </row>
    <row r="42" spans="1:4">
      <c r="A42" s="1322" t="s">
        <v>817</v>
      </c>
      <c r="B42" s="1322"/>
      <c r="C42" s="1322"/>
      <c r="D42" s="866"/>
    </row>
    <row r="43" spans="1:4">
      <c r="A43" s="1322"/>
      <c r="B43" s="1322"/>
      <c r="C43" s="1322"/>
      <c r="D43" s="866"/>
    </row>
    <row r="44" spans="1:4">
      <c r="A44" s="1322"/>
      <c r="B44" s="1322"/>
      <c r="C44" s="1322"/>
      <c r="D44" s="866"/>
    </row>
    <row r="45" spans="1:4">
      <c r="A45" s="1322"/>
      <c r="B45" s="1322"/>
      <c r="C45" s="1322"/>
      <c r="D45" s="866"/>
    </row>
    <row r="46" spans="1:4">
      <c r="A46" s="1322"/>
      <c r="B46" s="1322"/>
      <c r="C46" s="1322"/>
      <c r="D46" s="866"/>
    </row>
    <row r="47" spans="1:4" ht="15">
      <c r="A47" s="563"/>
      <c r="B47" s="563"/>
      <c r="C47" s="563"/>
      <c r="D47" s="563"/>
    </row>
  </sheetData>
  <mergeCells count="8">
    <mergeCell ref="A37:D37"/>
    <mergeCell ref="A42:C46"/>
    <mergeCell ref="A3:D3"/>
    <mergeCell ref="A4:D4"/>
    <mergeCell ref="A5:D5"/>
    <mergeCell ref="A6:D6"/>
    <mergeCell ref="A7:D7"/>
    <mergeCell ref="A8:D8"/>
  </mergeCells>
  <pageMargins left="0.7" right="0.7" top="0.75" bottom="0.75" header="0.3" footer="0.3"/>
  <pageSetup scale="9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ransitionEvaluation="1" codeName="Sheet27">
    <pageSetUpPr fitToPage="1"/>
  </sheetPr>
  <dimension ref="A1:H45"/>
  <sheetViews>
    <sheetView tabSelected="1" defaultGridColor="0" topLeftCell="A4" colorId="22" zoomScale="75" workbookViewId="0">
      <selection activeCell="D9" sqref="D9"/>
    </sheetView>
  </sheetViews>
  <sheetFormatPr defaultColWidth="14.5703125" defaultRowHeight="15"/>
  <cols>
    <col min="1" max="1" width="41.5703125" style="563" customWidth="1"/>
    <col min="2" max="2" width="33.140625" style="563" customWidth="1"/>
    <col min="3" max="4" width="31.85546875" style="563" customWidth="1"/>
    <col min="5" max="5" width="16.5703125" style="563" customWidth="1"/>
    <col min="6" max="6" width="14.5703125" style="563" customWidth="1"/>
    <col min="7" max="7" width="4.85546875" style="563" customWidth="1"/>
    <col min="8" max="8" width="14.5703125" style="224" customWidth="1"/>
    <col min="9" max="9" width="18.42578125" style="563" customWidth="1"/>
    <col min="10" max="10" width="15.5703125" style="563" customWidth="1"/>
    <col min="11" max="11" width="6.140625" style="563" customWidth="1"/>
    <col min="12" max="12" width="14.5703125" style="563" customWidth="1"/>
    <col min="13" max="13" width="16.140625" style="563" customWidth="1"/>
    <col min="14" max="14" width="14.5703125" style="563" customWidth="1"/>
    <col min="15" max="15" width="4.85546875" style="563" customWidth="1"/>
    <col min="16" max="16" width="18.5703125" style="563" customWidth="1"/>
    <col min="17" max="16384" width="14.5703125" style="563"/>
  </cols>
  <sheetData>
    <row r="1" spans="1:7" s="563" customFormat="1" ht="15.75">
      <c r="A1" s="669" t="s">
        <v>115</v>
      </c>
      <c r="G1" s="224"/>
    </row>
    <row r="2" spans="1:7" s="563" customFormat="1" ht="15.75">
      <c r="A2" s="669" t="s">
        <v>115</v>
      </c>
      <c r="G2" s="224"/>
    </row>
    <row r="3" spans="1:7" ht="19.5">
      <c r="B3" s="1323" t="s">
        <v>392</v>
      </c>
      <c r="C3" s="1323"/>
      <c r="D3" s="1323"/>
      <c r="E3" s="1323"/>
    </row>
    <row r="4" spans="1:7" ht="19.5">
      <c r="B4" s="1323" t="s">
        <v>774</v>
      </c>
      <c r="C4" s="1323"/>
      <c r="D4" s="1323"/>
      <c r="E4" s="1323"/>
    </row>
    <row r="5" spans="1:7" ht="19.5">
      <c r="B5" s="1323" t="s">
        <v>775</v>
      </c>
      <c r="C5" s="1323"/>
      <c r="D5" s="1323"/>
      <c r="E5" s="1323"/>
    </row>
    <row r="6" spans="1:7" ht="19.5">
      <c r="B6" s="1323" t="s">
        <v>1183</v>
      </c>
      <c r="C6" s="1323"/>
      <c r="D6" s="1323"/>
      <c r="E6" s="1323"/>
    </row>
    <row r="7" spans="1:7" ht="19.5">
      <c r="B7" s="1323" t="s">
        <v>777</v>
      </c>
      <c r="C7" s="1323"/>
      <c r="D7" s="1323"/>
      <c r="E7" s="1323"/>
    </row>
    <row r="8" spans="1:7" ht="19.5">
      <c r="B8" s="1323" t="s">
        <v>799</v>
      </c>
      <c r="C8" s="1323"/>
      <c r="D8" s="1323"/>
      <c r="E8" s="1323"/>
    </row>
    <row r="9" spans="1:7">
      <c r="B9" s="856"/>
      <c r="C9" s="856"/>
      <c r="D9" s="566" t="s">
        <v>115</v>
      </c>
    </row>
    <row r="10" spans="1:7">
      <c r="A10" s="1322"/>
      <c r="B10" s="1322"/>
      <c r="C10" s="1322"/>
      <c r="D10" s="866"/>
    </row>
    <row r="11" spans="1:7" ht="15.75">
      <c r="A11" s="856"/>
      <c r="B11" s="865" t="s">
        <v>400</v>
      </c>
    </row>
    <row r="12" spans="1:7" ht="15.75">
      <c r="A12" s="566"/>
      <c r="B12" s="865" t="s">
        <v>404</v>
      </c>
      <c r="C12" s="865" t="s">
        <v>405</v>
      </c>
      <c r="D12" s="865"/>
    </row>
    <row r="13" spans="1:7" ht="15.75" thickBot="1">
      <c r="C13" s="869" t="s">
        <v>500</v>
      </c>
    </row>
    <row r="14" spans="1:7">
      <c r="A14" s="573" t="s">
        <v>407</v>
      </c>
      <c r="B14" s="861"/>
      <c r="C14" s="219"/>
    </row>
    <row r="15" spans="1:7">
      <c r="A15" s="868"/>
      <c r="D15" s="869"/>
    </row>
    <row r="16" spans="1:7">
      <c r="A16" s="563" t="s">
        <v>408</v>
      </c>
      <c r="B16" s="223">
        <v>352</v>
      </c>
      <c r="C16" s="218">
        <v>1.15E-2</v>
      </c>
      <c r="D16" s="869"/>
    </row>
    <row r="17" spans="1:4">
      <c r="A17" s="563" t="s">
        <v>409</v>
      </c>
      <c r="B17" s="223">
        <v>353</v>
      </c>
      <c r="C17" s="218">
        <v>2.2200000000000001E-2</v>
      </c>
      <c r="D17" s="869"/>
    </row>
    <row r="18" spans="1:4">
      <c r="A18" s="563" t="s">
        <v>410</v>
      </c>
      <c r="B18" s="223">
        <v>354</v>
      </c>
      <c r="C18" s="218">
        <v>2.6499999999999999E-2</v>
      </c>
      <c r="D18" s="869"/>
    </row>
    <row r="19" spans="1:4">
      <c r="A19" s="563" t="s">
        <v>411</v>
      </c>
      <c r="B19" s="223">
        <v>355</v>
      </c>
      <c r="C19" s="218">
        <v>2.41E-2</v>
      </c>
      <c r="D19" s="869"/>
    </row>
    <row r="20" spans="1:4">
      <c r="A20" s="563" t="s">
        <v>770</v>
      </c>
      <c r="B20" s="223">
        <v>356</v>
      </c>
      <c r="C20" s="218">
        <v>1.32E-2</v>
      </c>
      <c r="D20" s="869"/>
    </row>
    <row r="21" spans="1:4">
      <c r="A21" s="563" t="s">
        <v>412</v>
      </c>
      <c r="B21" s="223">
        <v>351</v>
      </c>
      <c r="C21" s="218">
        <v>9.9400000000000002E-2</v>
      </c>
      <c r="D21" s="869"/>
    </row>
    <row r="22" spans="1:4">
      <c r="A22" s="563" t="s">
        <v>413</v>
      </c>
      <c r="B22" s="223">
        <v>351</v>
      </c>
      <c r="C22" s="218">
        <v>0.13980000000000001</v>
      </c>
      <c r="D22" s="869"/>
    </row>
    <row r="23" spans="1:4">
      <c r="A23" s="563" t="s">
        <v>771</v>
      </c>
      <c r="B23" s="223">
        <v>359</v>
      </c>
      <c r="C23" s="867" t="s">
        <v>800</v>
      </c>
      <c r="D23" s="869"/>
    </row>
    <row r="24" spans="1:4" ht="15.75" thickBot="1">
      <c r="B24" s="223"/>
      <c r="C24" s="218"/>
      <c r="D24" s="869"/>
    </row>
    <row r="25" spans="1:4">
      <c r="A25" s="573" t="s">
        <v>801</v>
      </c>
      <c r="B25" s="861"/>
      <c r="C25" s="219"/>
      <c r="D25" s="869"/>
    </row>
    <row r="26" spans="1:4" ht="15" customHeight="1">
      <c r="B26" s="223"/>
      <c r="C26" s="218"/>
      <c r="D26" s="869"/>
    </row>
    <row r="27" spans="1:4">
      <c r="A27" s="563" t="s">
        <v>802</v>
      </c>
      <c r="B27" s="223">
        <v>390</v>
      </c>
      <c r="C27" s="218">
        <v>1.0800000000000001E-2</v>
      </c>
      <c r="D27" s="869"/>
    </row>
    <row r="28" spans="1:4">
      <c r="A28" s="563" t="s">
        <v>803</v>
      </c>
      <c r="B28" s="223">
        <v>391</v>
      </c>
      <c r="C28" s="218">
        <v>2.1299999999999999E-2</v>
      </c>
      <c r="D28" s="869"/>
    </row>
    <row r="29" spans="1:4">
      <c r="A29" s="563" t="s">
        <v>804</v>
      </c>
      <c r="B29" s="223">
        <v>393</v>
      </c>
      <c r="C29" s="218">
        <v>1.78E-2</v>
      </c>
      <c r="D29" s="869"/>
    </row>
    <row r="30" spans="1:4" ht="15" customHeight="1">
      <c r="A30" s="563" t="s">
        <v>805</v>
      </c>
      <c r="B30" s="223">
        <v>394</v>
      </c>
      <c r="C30" s="218">
        <v>1.6500000000000001E-2</v>
      </c>
      <c r="D30" s="869"/>
    </row>
    <row r="31" spans="1:4">
      <c r="A31" s="563" t="s">
        <v>807</v>
      </c>
      <c r="B31" s="223">
        <v>397</v>
      </c>
      <c r="C31" s="218">
        <v>5.0900000000000001E-2</v>
      </c>
      <c r="D31" s="869"/>
    </row>
    <row r="32" spans="1:4">
      <c r="A32" s="563" t="s">
        <v>808</v>
      </c>
      <c r="B32" s="223">
        <v>398</v>
      </c>
      <c r="C32" s="218">
        <v>2.76E-2</v>
      </c>
      <c r="D32" s="869"/>
    </row>
    <row r="33" spans="1:4">
      <c r="B33" s="223"/>
      <c r="C33" s="218"/>
      <c r="D33" s="869"/>
    </row>
    <row r="34" spans="1:4">
      <c r="B34" s="223"/>
      <c r="C34" s="218"/>
      <c r="D34" s="869"/>
    </row>
    <row r="35" spans="1:4">
      <c r="B35" s="223"/>
      <c r="C35" s="218"/>
      <c r="D35" s="869"/>
    </row>
    <row r="36" spans="1:4">
      <c r="A36" s="868"/>
      <c r="B36" s="856"/>
      <c r="C36" s="218"/>
    </row>
    <row r="37" spans="1:4" ht="15" customHeight="1">
      <c r="A37" s="1324" t="s">
        <v>1184</v>
      </c>
      <c r="B37" s="1324"/>
      <c r="C37" s="1324"/>
      <c r="D37" s="1324"/>
    </row>
    <row r="38" spans="1:4" ht="15.75">
      <c r="B38" s="862"/>
      <c r="C38" s="226"/>
    </row>
    <row r="39" spans="1:4">
      <c r="A39" s="1324"/>
      <c r="B39" s="1324"/>
      <c r="C39" s="1324"/>
      <c r="D39" s="1324"/>
    </row>
    <row r="40" spans="1:4" ht="15.75">
      <c r="A40" s="864" t="s">
        <v>798</v>
      </c>
      <c r="B40" s="856"/>
      <c r="C40" s="218"/>
    </row>
    <row r="41" spans="1:4">
      <c r="A41" s="1322" t="s">
        <v>817</v>
      </c>
      <c r="B41" s="1322"/>
      <c r="C41" s="1322"/>
      <c r="D41" s="866"/>
    </row>
    <row r="42" spans="1:4">
      <c r="A42" s="1322"/>
      <c r="B42" s="1322"/>
      <c r="C42" s="1322"/>
      <c r="D42" s="866"/>
    </row>
    <row r="43" spans="1:4">
      <c r="A43" s="1322"/>
      <c r="B43" s="1322"/>
      <c r="C43" s="1322"/>
      <c r="D43" s="866"/>
    </row>
    <row r="44" spans="1:4">
      <c r="A44" s="1322"/>
      <c r="B44" s="1322"/>
      <c r="C44" s="1322"/>
      <c r="D44" s="866"/>
    </row>
    <row r="45" spans="1:4">
      <c r="A45" s="1322"/>
      <c r="B45" s="1322"/>
      <c r="C45" s="1322"/>
      <c r="D45" s="866"/>
    </row>
  </sheetData>
  <mergeCells count="10">
    <mergeCell ref="A37:D37"/>
    <mergeCell ref="A39:D39"/>
    <mergeCell ref="A41:C45"/>
    <mergeCell ref="A10:C10"/>
    <mergeCell ref="B3:E3"/>
    <mergeCell ref="B4:E4"/>
    <mergeCell ref="B5:E5"/>
    <mergeCell ref="B6:E6"/>
    <mergeCell ref="B7:E7"/>
    <mergeCell ref="B8:E8"/>
  </mergeCells>
  <conditionalFormatting sqref="B3:T4">
    <cfRule type="cellIs" dxfId="1" priority="2" stopIfTrue="1" operator="lessThan">
      <formula>0</formula>
    </cfRule>
  </conditionalFormatting>
  <conditionalFormatting sqref="C23">
    <cfRule type="cellIs" dxfId="0" priority="1" stopIfTrue="1" operator="lessThan">
      <formula>0</formula>
    </cfRule>
  </conditionalFormatting>
  <printOptions horizontalCentered="1"/>
  <pageMargins left="0.55000000000000004" right="0.55000000000000004" top="1.25" bottom="0.75" header="0.75" footer="0.27"/>
  <pageSetup scale="68" orientation="landscape" r:id="rId1"/>
  <headerFooter alignWithMargins="0">
    <oddHeader>&amp;RFormula Rate 
&amp;A
Page &amp;P of &amp;N</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K57"/>
  <sheetViews>
    <sheetView tabSelected="1" view="pageBreakPreview" topLeftCell="A8" zoomScale="60" zoomScaleNormal="100" workbookViewId="0">
      <selection activeCell="D9" sqref="D9"/>
    </sheetView>
  </sheetViews>
  <sheetFormatPr defaultRowHeight="12.75"/>
  <cols>
    <col min="1" max="1" width="29" customWidth="1"/>
    <col min="4" max="4" width="21.5703125" customWidth="1"/>
    <col min="6" max="6" width="14.42578125" customWidth="1"/>
    <col min="8" max="8" width="20.140625" customWidth="1"/>
    <col min="9" max="9" width="22.42578125" customWidth="1"/>
    <col min="11" max="11" width="22.5703125" customWidth="1"/>
  </cols>
  <sheetData>
    <row r="1" spans="1:11" ht="15.75">
      <c r="A1" s="1325" t="s">
        <v>388</v>
      </c>
      <c r="B1" s="1325"/>
      <c r="C1" s="1325"/>
      <c r="D1" s="1325"/>
      <c r="E1" s="1325"/>
      <c r="F1" s="1325"/>
      <c r="G1" s="1325"/>
      <c r="H1" s="1325"/>
      <c r="I1" s="1325"/>
      <c r="J1" s="1325"/>
      <c r="K1" s="1325"/>
    </row>
    <row r="2" spans="1:11" ht="15.75">
      <c r="A2" s="1326" t="s">
        <v>569</v>
      </c>
      <c r="B2" s="1326"/>
      <c r="C2" s="1326"/>
      <c r="D2" s="1326"/>
      <c r="E2" s="1326"/>
      <c r="F2" s="1326"/>
      <c r="G2" s="1326"/>
      <c r="H2" s="1326"/>
      <c r="I2" s="1326"/>
      <c r="J2" s="1326"/>
      <c r="K2" s="1326"/>
    </row>
    <row r="3" spans="1:11" ht="15.75">
      <c r="A3" s="1326" t="s">
        <v>570</v>
      </c>
      <c r="B3" s="1326"/>
      <c r="C3" s="1326"/>
      <c r="D3" s="1326"/>
      <c r="E3" s="1326"/>
      <c r="F3" s="1326"/>
      <c r="G3" s="1326"/>
      <c r="H3" s="1326"/>
      <c r="I3" s="1326"/>
      <c r="J3" s="1326"/>
      <c r="K3" s="1326"/>
    </row>
    <row r="4" spans="1:11" ht="15.75">
      <c r="A4" s="2"/>
      <c r="B4" s="2"/>
      <c r="C4" s="2"/>
      <c r="D4" s="1326"/>
      <c r="E4" s="1326"/>
      <c r="F4" s="1326"/>
      <c r="G4" s="1326"/>
      <c r="H4" s="2"/>
      <c r="I4" s="2"/>
      <c r="J4" s="2"/>
      <c r="K4" s="2"/>
    </row>
    <row r="7" spans="1:11" ht="16.5" thickBot="1">
      <c r="A7" s="579"/>
      <c r="B7" s="580"/>
      <c r="C7" s="580"/>
      <c r="D7" s="580"/>
      <c r="E7" s="580"/>
      <c r="F7" s="580"/>
      <c r="G7" s="580"/>
      <c r="H7" s="580"/>
      <c r="I7" s="580"/>
      <c r="J7" s="580"/>
      <c r="K7" s="580"/>
    </row>
    <row r="8" spans="1:11" ht="47.25">
      <c r="A8" s="581" t="str">
        <f>"Reconciliation Revenue Requirement For Year 2018 Available May 25, 2019"</f>
        <v>Reconciliation Revenue Requirement For Year 2018 Available May 25, 2019</v>
      </c>
      <c r="B8" s="580"/>
      <c r="C8" s="580"/>
      <c r="D8" s="581" t="s">
        <v>1064</v>
      </c>
      <c r="E8" s="580"/>
      <c r="F8" s="580"/>
      <c r="G8" s="2"/>
      <c r="H8" s="581" t="s">
        <v>550</v>
      </c>
      <c r="I8" s="2"/>
      <c r="J8" s="2"/>
      <c r="K8" s="2"/>
    </row>
    <row r="9" spans="1:11" ht="15.75">
      <c r="A9" s="582" t="s">
        <v>115</v>
      </c>
      <c r="B9" s="580"/>
      <c r="C9" s="580"/>
      <c r="D9" s="582"/>
      <c r="E9" s="580"/>
      <c r="F9" s="580"/>
      <c r="G9" s="2"/>
      <c r="H9" s="583"/>
      <c r="I9" s="2"/>
      <c r="J9" s="2"/>
      <c r="K9" s="2"/>
    </row>
    <row r="10" spans="1:11" ht="16.5" thickBot="1">
      <c r="A10" s="663">
        <v>0</v>
      </c>
      <c r="B10" s="584" t="str">
        <f>"-"</f>
        <v>-</v>
      </c>
      <c r="C10" s="585"/>
      <c r="D10" s="663">
        <v>0</v>
      </c>
      <c r="E10" s="586"/>
      <c r="F10" s="587" t="str">
        <f>"="</f>
        <v>=</v>
      </c>
      <c r="G10" s="588"/>
      <c r="H10" s="589">
        <v>-3955595</v>
      </c>
      <c r="I10" s="2"/>
      <c r="J10" s="2"/>
      <c r="K10" s="2"/>
    </row>
    <row r="11" spans="1:11" ht="15.75">
      <c r="A11" s="590"/>
      <c r="B11" s="591"/>
      <c r="C11" s="591"/>
      <c r="D11" s="590"/>
      <c r="E11" s="590"/>
      <c r="F11" s="591"/>
      <c r="G11" s="590"/>
      <c r="H11" s="2"/>
      <c r="I11" s="2"/>
      <c r="J11" s="2"/>
      <c r="K11" s="2"/>
    </row>
    <row r="12" spans="1:11" ht="16.5" thickBot="1">
      <c r="A12" s="592"/>
      <c r="B12" s="593"/>
      <c r="C12" s="593"/>
      <c r="D12" s="592"/>
      <c r="E12" s="592"/>
      <c r="F12" s="593"/>
      <c r="G12" s="592"/>
      <c r="H12" s="594"/>
      <c r="I12" s="594"/>
      <c r="J12" s="594"/>
      <c r="K12" s="594"/>
    </row>
    <row r="13" spans="1:11" ht="15.75">
      <c r="A13" s="595"/>
      <c r="B13" s="591"/>
      <c r="C13" s="591"/>
      <c r="D13" s="590"/>
      <c r="E13" s="590"/>
      <c r="F13" s="591"/>
      <c r="G13" s="590"/>
      <c r="H13" s="2"/>
      <c r="I13" s="2"/>
      <c r="J13" s="2"/>
      <c r="K13" s="2"/>
    </row>
    <row r="14" spans="1:11" ht="47.25">
      <c r="A14" s="596" t="s">
        <v>551</v>
      </c>
      <c r="B14" s="591"/>
      <c r="C14" s="591"/>
      <c r="D14" s="597" t="s">
        <v>552</v>
      </c>
      <c r="E14" s="590"/>
      <c r="F14" s="597" t="s">
        <v>553</v>
      </c>
      <c r="G14" s="598" t="s">
        <v>554</v>
      </c>
      <c r="H14" s="599" t="s">
        <v>555</v>
      </c>
      <c r="I14" s="597" t="s">
        <v>556</v>
      </c>
      <c r="J14" s="600"/>
      <c r="K14" s="597" t="s">
        <v>557</v>
      </c>
    </row>
    <row r="15" spans="1:11" ht="15.75">
      <c r="A15" s="596" t="s">
        <v>558</v>
      </c>
      <c r="B15" s="591"/>
      <c r="C15" s="591"/>
      <c r="D15" s="2"/>
      <c r="E15" s="601"/>
      <c r="F15" s="1080">
        <v>4.0949999999999997E-3</v>
      </c>
      <c r="H15" s="2"/>
      <c r="I15" s="2"/>
      <c r="J15" s="2"/>
      <c r="K15" s="2"/>
    </row>
    <row r="16" spans="1:11" ht="15.75">
      <c r="A16" s="596"/>
      <c r="B16" s="591"/>
      <c r="C16" s="591"/>
      <c r="D16" s="2"/>
      <c r="E16" s="601"/>
      <c r="F16" s="601"/>
      <c r="G16" s="590"/>
      <c r="H16" s="2"/>
      <c r="I16" s="2"/>
      <c r="J16" s="2"/>
      <c r="K16" s="2"/>
    </row>
    <row r="17" spans="1:11" ht="15.75">
      <c r="A17" s="596" t="s">
        <v>1065</v>
      </c>
      <c r="B17" s="591"/>
      <c r="C17" s="591"/>
      <c r="D17" s="2"/>
      <c r="E17" s="601"/>
      <c r="F17" s="601"/>
      <c r="G17" s="590"/>
      <c r="H17" s="2"/>
      <c r="I17" s="2"/>
      <c r="J17" s="2"/>
      <c r="K17" s="2"/>
    </row>
    <row r="18" spans="1:11" ht="15.75">
      <c r="A18" s="602" t="s">
        <v>115</v>
      </c>
      <c r="B18" s="591"/>
      <c r="C18" s="591"/>
      <c r="D18" s="591"/>
      <c r="E18" s="591"/>
      <c r="F18" s="591" t="s">
        <v>115</v>
      </c>
      <c r="G18" s="2"/>
      <c r="H18" s="2"/>
      <c r="I18" s="2"/>
      <c r="J18" s="2"/>
      <c r="K18" s="2"/>
    </row>
    <row r="19" spans="1:11" ht="15.75">
      <c r="A19" s="603"/>
      <c r="B19" s="591"/>
      <c r="C19" s="591"/>
      <c r="D19" s="591"/>
      <c r="E19" s="591"/>
      <c r="F19" s="2"/>
      <c r="G19" s="2"/>
      <c r="H19" s="598"/>
      <c r="I19" s="591"/>
      <c r="J19" s="591"/>
      <c r="K19" s="591"/>
    </row>
    <row r="20" spans="1:11" ht="15.75">
      <c r="A20" s="603" t="s">
        <v>559</v>
      </c>
      <c r="B20" s="591"/>
      <c r="C20" s="591"/>
      <c r="D20" s="591"/>
      <c r="E20" s="591"/>
      <c r="F20" s="2"/>
      <c r="G20" s="2"/>
      <c r="H20" s="598" t="s">
        <v>560</v>
      </c>
      <c r="I20" s="591"/>
      <c r="J20" s="591"/>
      <c r="K20" s="591"/>
    </row>
    <row r="21" spans="1:11" ht="15.75">
      <c r="A21" s="580" t="s">
        <v>186</v>
      </c>
      <c r="B21" s="580" t="str">
        <f>"Year 2018"</f>
        <v>Year 2018</v>
      </c>
      <c r="C21" s="580"/>
      <c r="D21" s="604">
        <f>H10/12</f>
        <v>-329632.91666666669</v>
      </c>
      <c r="E21" s="604"/>
      <c r="F21" s="605">
        <f>+F15</f>
        <v>4.0949999999999997E-3</v>
      </c>
      <c r="G21" s="580">
        <v>12</v>
      </c>
      <c r="H21" s="604">
        <f>F21*D21*G21*-1</f>
        <v>16198.161525</v>
      </c>
      <c r="I21" s="604"/>
      <c r="J21" s="604"/>
      <c r="K21" s="604">
        <f>(-H21+D21)*-1</f>
        <v>345831.07819166669</v>
      </c>
    </row>
    <row r="22" spans="1:11" ht="15.75">
      <c r="A22" s="580" t="s">
        <v>561</v>
      </c>
      <c r="B22" s="580" t="str">
        <f>B21</f>
        <v>Year 2018</v>
      </c>
      <c r="C22" s="580"/>
      <c r="D22" s="604">
        <f>+D21</f>
        <v>-329632.91666666669</v>
      </c>
      <c r="E22" s="604"/>
      <c r="F22" s="605">
        <f>+F21</f>
        <v>4.0949999999999997E-3</v>
      </c>
      <c r="G22" s="580">
        <f t="shared" ref="G22:G32" si="0">+G21-1</f>
        <v>11</v>
      </c>
      <c r="H22" s="604">
        <f t="shared" ref="H22:H32" si="1">F22*D22*G22*-1</f>
        <v>14848.31473125</v>
      </c>
      <c r="I22" s="604"/>
      <c r="J22" s="604"/>
      <c r="K22" s="604">
        <f t="shared" ref="K22:K32" si="2">(-H22+D22)*-1</f>
        <v>344481.23139791668</v>
      </c>
    </row>
    <row r="23" spans="1:11" ht="15.75">
      <c r="A23" s="580" t="s">
        <v>187</v>
      </c>
      <c r="B23" s="580" t="str">
        <f t="shared" ref="B23:B32" si="3">B22</f>
        <v>Year 2018</v>
      </c>
      <c r="C23" s="580"/>
      <c r="D23" s="604">
        <f t="shared" ref="D23:D32" si="4">+D22</f>
        <v>-329632.91666666669</v>
      </c>
      <c r="E23" s="604"/>
      <c r="F23" s="605">
        <f t="shared" ref="F23:F32" si="5">+F22</f>
        <v>4.0949999999999997E-3</v>
      </c>
      <c r="G23" s="580">
        <f t="shared" si="0"/>
        <v>10</v>
      </c>
      <c r="H23" s="604">
        <f t="shared" si="1"/>
        <v>13498.4679375</v>
      </c>
      <c r="I23" s="604"/>
      <c r="J23" s="604"/>
      <c r="K23" s="604">
        <f t="shared" si="2"/>
        <v>343131.38460416667</v>
      </c>
    </row>
    <row r="24" spans="1:11" ht="15.75">
      <c r="A24" s="580" t="s">
        <v>188</v>
      </c>
      <c r="B24" s="580" t="str">
        <f t="shared" si="3"/>
        <v>Year 2018</v>
      </c>
      <c r="C24" s="580"/>
      <c r="D24" s="604">
        <f t="shared" si="4"/>
        <v>-329632.91666666669</v>
      </c>
      <c r="E24" s="604"/>
      <c r="F24" s="605">
        <f t="shared" si="5"/>
        <v>4.0949999999999997E-3</v>
      </c>
      <c r="G24" s="580">
        <f t="shared" si="0"/>
        <v>9</v>
      </c>
      <c r="H24" s="604">
        <f t="shared" si="1"/>
        <v>12148.621143749999</v>
      </c>
      <c r="I24" s="604"/>
      <c r="J24" s="604"/>
      <c r="K24" s="604">
        <f t="shared" si="2"/>
        <v>341781.53781041666</v>
      </c>
    </row>
    <row r="25" spans="1:11" ht="15.75">
      <c r="A25" s="580" t="s">
        <v>189</v>
      </c>
      <c r="B25" s="580" t="str">
        <f t="shared" si="3"/>
        <v>Year 2018</v>
      </c>
      <c r="C25" s="580"/>
      <c r="D25" s="604">
        <f t="shared" si="4"/>
        <v>-329632.91666666669</v>
      </c>
      <c r="E25" s="604"/>
      <c r="F25" s="605">
        <f t="shared" si="5"/>
        <v>4.0949999999999997E-3</v>
      </c>
      <c r="G25" s="580">
        <f t="shared" si="0"/>
        <v>8</v>
      </c>
      <c r="H25" s="604">
        <f t="shared" si="1"/>
        <v>10798.77435</v>
      </c>
      <c r="I25" s="604"/>
      <c r="J25" s="604"/>
      <c r="K25" s="604">
        <f t="shared" si="2"/>
        <v>340431.69101666671</v>
      </c>
    </row>
    <row r="26" spans="1:11" ht="15.75">
      <c r="A26" s="580" t="s">
        <v>383</v>
      </c>
      <c r="B26" s="580" t="str">
        <f t="shared" si="3"/>
        <v>Year 2018</v>
      </c>
      <c r="C26" s="580"/>
      <c r="D26" s="604">
        <f t="shared" si="4"/>
        <v>-329632.91666666669</v>
      </c>
      <c r="E26" s="604"/>
      <c r="F26" s="605">
        <f t="shared" si="5"/>
        <v>4.0949999999999997E-3</v>
      </c>
      <c r="G26" s="580">
        <f t="shared" si="0"/>
        <v>7</v>
      </c>
      <c r="H26" s="604">
        <f t="shared" si="1"/>
        <v>9448.9275562500006</v>
      </c>
      <c r="I26" s="604"/>
      <c r="J26" s="604"/>
      <c r="K26" s="604">
        <f t="shared" si="2"/>
        <v>339081.8442229167</v>
      </c>
    </row>
    <row r="27" spans="1:11" ht="15.75">
      <c r="A27" s="580" t="s">
        <v>190</v>
      </c>
      <c r="B27" s="580" t="str">
        <f t="shared" si="3"/>
        <v>Year 2018</v>
      </c>
      <c r="C27" s="580"/>
      <c r="D27" s="604">
        <f t="shared" si="4"/>
        <v>-329632.91666666669</v>
      </c>
      <c r="E27" s="604"/>
      <c r="F27" s="605">
        <f t="shared" si="5"/>
        <v>4.0949999999999997E-3</v>
      </c>
      <c r="G27" s="580">
        <f t="shared" si="0"/>
        <v>6</v>
      </c>
      <c r="H27" s="604">
        <f t="shared" si="1"/>
        <v>8099.0807624999998</v>
      </c>
      <c r="I27" s="604"/>
      <c r="J27" s="604"/>
      <c r="K27" s="604">
        <f t="shared" si="2"/>
        <v>337731.99742916669</v>
      </c>
    </row>
    <row r="28" spans="1:11" ht="15.75">
      <c r="A28" s="580" t="s">
        <v>191</v>
      </c>
      <c r="B28" s="580" t="str">
        <f t="shared" si="3"/>
        <v>Year 2018</v>
      </c>
      <c r="C28" s="580"/>
      <c r="D28" s="604">
        <f t="shared" si="4"/>
        <v>-329632.91666666669</v>
      </c>
      <c r="E28" s="604"/>
      <c r="F28" s="605">
        <f t="shared" si="5"/>
        <v>4.0949999999999997E-3</v>
      </c>
      <c r="G28" s="580">
        <f t="shared" si="0"/>
        <v>5</v>
      </c>
      <c r="H28" s="604">
        <f t="shared" si="1"/>
        <v>6749.2339687499998</v>
      </c>
      <c r="I28" s="604"/>
      <c r="J28" s="604"/>
      <c r="K28" s="604">
        <f t="shared" si="2"/>
        <v>336382.15063541668</v>
      </c>
    </row>
    <row r="29" spans="1:11" ht="15.75">
      <c r="A29" s="580" t="s">
        <v>193</v>
      </c>
      <c r="B29" s="580" t="str">
        <f t="shared" si="3"/>
        <v>Year 2018</v>
      </c>
      <c r="C29" s="580"/>
      <c r="D29" s="604">
        <f t="shared" si="4"/>
        <v>-329632.91666666669</v>
      </c>
      <c r="E29" s="604"/>
      <c r="F29" s="605">
        <f t="shared" si="5"/>
        <v>4.0949999999999997E-3</v>
      </c>
      <c r="G29" s="580">
        <f t="shared" si="0"/>
        <v>4</v>
      </c>
      <c r="H29" s="604">
        <f t="shared" si="1"/>
        <v>5399.3871749999998</v>
      </c>
      <c r="I29" s="604"/>
      <c r="J29" s="604"/>
      <c r="K29" s="604">
        <f t="shared" si="2"/>
        <v>335032.30384166667</v>
      </c>
    </row>
    <row r="30" spans="1:11" ht="15.75">
      <c r="A30" s="580" t="s">
        <v>562</v>
      </c>
      <c r="B30" s="580" t="str">
        <f t="shared" si="3"/>
        <v>Year 2018</v>
      </c>
      <c r="C30" s="580"/>
      <c r="D30" s="604">
        <f t="shared" si="4"/>
        <v>-329632.91666666669</v>
      </c>
      <c r="E30" s="604"/>
      <c r="F30" s="605">
        <f t="shared" si="5"/>
        <v>4.0949999999999997E-3</v>
      </c>
      <c r="G30" s="580">
        <f t="shared" si="0"/>
        <v>3</v>
      </c>
      <c r="H30" s="604">
        <f t="shared" si="1"/>
        <v>4049.5403812499999</v>
      </c>
      <c r="I30" s="604"/>
      <c r="J30" s="604"/>
      <c r="K30" s="604">
        <f t="shared" si="2"/>
        <v>333682.45704791666</v>
      </c>
    </row>
    <row r="31" spans="1:11" ht="15.75">
      <c r="A31" s="580" t="s">
        <v>563</v>
      </c>
      <c r="B31" s="580" t="str">
        <f t="shared" si="3"/>
        <v>Year 2018</v>
      </c>
      <c r="C31" s="580"/>
      <c r="D31" s="604">
        <f t="shared" si="4"/>
        <v>-329632.91666666669</v>
      </c>
      <c r="E31" s="604"/>
      <c r="F31" s="605">
        <f t="shared" si="5"/>
        <v>4.0949999999999997E-3</v>
      </c>
      <c r="G31" s="580">
        <f t="shared" si="0"/>
        <v>2</v>
      </c>
      <c r="H31" s="604">
        <f t="shared" si="1"/>
        <v>2699.6935874999999</v>
      </c>
      <c r="I31" s="604"/>
      <c r="J31" s="604"/>
      <c r="K31" s="604">
        <f t="shared" si="2"/>
        <v>332332.61025416671</v>
      </c>
    </row>
    <row r="32" spans="1:11" ht="15.75">
      <c r="A32" s="580" t="s">
        <v>192</v>
      </c>
      <c r="B32" s="580" t="str">
        <f t="shared" si="3"/>
        <v>Year 2018</v>
      </c>
      <c r="C32" s="580"/>
      <c r="D32" s="604">
        <f t="shared" si="4"/>
        <v>-329632.91666666669</v>
      </c>
      <c r="E32" s="604"/>
      <c r="F32" s="605">
        <f t="shared" si="5"/>
        <v>4.0949999999999997E-3</v>
      </c>
      <c r="G32" s="580">
        <f t="shared" si="0"/>
        <v>1</v>
      </c>
      <c r="H32" s="606">
        <f t="shared" si="1"/>
        <v>1349.84679375</v>
      </c>
      <c r="I32" s="604"/>
      <c r="J32" s="604"/>
      <c r="K32" s="604">
        <f t="shared" si="2"/>
        <v>330982.7634604167</v>
      </c>
    </row>
    <row r="33" spans="1:11" ht="15.75">
      <c r="A33" s="580"/>
      <c r="B33" s="580"/>
      <c r="C33" s="580"/>
      <c r="D33" s="604"/>
      <c r="E33" s="604"/>
      <c r="F33" s="605"/>
      <c r="G33" s="580"/>
      <c r="H33" s="604">
        <f>SUM(H21:H32)</f>
        <v>105288.04991250001</v>
      </c>
      <c r="I33" s="604"/>
      <c r="J33" s="604"/>
      <c r="K33" s="607">
        <f>SUM(K21:K32)</f>
        <v>4060883.0499125007</v>
      </c>
    </row>
    <row r="34" spans="1:11" ht="15.75">
      <c r="A34" s="580"/>
      <c r="B34" s="580"/>
      <c r="C34" s="580"/>
      <c r="D34" s="604"/>
      <c r="E34" s="604"/>
      <c r="F34" s="605"/>
      <c r="G34" s="580"/>
      <c r="H34" s="604"/>
      <c r="I34" s="604" t="s">
        <v>115</v>
      </c>
      <c r="J34" s="604"/>
      <c r="K34" s="2"/>
    </row>
    <row r="35" spans="1:11" ht="15.75">
      <c r="A35" s="580"/>
      <c r="B35" s="580"/>
      <c r="C35" s="580"/>
      <c r="D35" s="590"/>
      <c r="E35" s="590"/>
      <c r="F35" s="605"/>
      <c r="G35" s="580"/>
      <c r="H35" s="608" t="s">
        <v>564</v>
      </c>
      <c r="I35" s="604"/>
      <c r="J35" s="604"/>
      <c r="K35" s="604"/>
    </row>
    <row r="36" spans="1:11" ht="15.75">
      <c r="A36" s="580" t="s">
        <v>565</v>
      </c>
      <c r="B36" s="580" t="str">
        <f>"Year 2019"</f>
        <v>Year 2019</v>
      </c>
      <c r="C36" s="580"/>
      <c r="D36" s="590">
        <f>K33</f>
        <v>4060883.0499125007</v>
      </c>
      <c r="E36" s="590"/>
      <c r="F36" s="605">
        <f>+F32</f>
        <v>4.0949999999999997E-3</v>
      </c>
      <c r="G36" s="580">
        <v>12</v>
      </c>
      <c r="H36" s="604">
        <f>+G36*F36*D36</f>
        <v>199551.79307270027</v>
      </c>
      <c r="I36" s="604"/>
      <c r="J36" s="604"/>
      <c r="K36" s="607">
        <f>+D36+H36</f>
        <v>4260434.8429852007</v>
      </c>
    </row>
    <row r="37" spans="1:11" ht="15.75">
      <c r="A37" s="580"/>
      <c r="B37" s="580"/>
      <c r="C37" s="580"/>
      <c r="D37" s="590"/>
      <c r="E37" s="590"/>
      <c r="F37" s="605"/>
      <c r="G37" s="580"/>
      <c r="H37" s="604"/>
      <c r="I37" s="604"/>
      <c r="J37" s="604"/>
      <c r="K37" s="604"/>
    </row>
    <row r="38" spans="1:11" ht="15.75">
      <c r="A38" s="609" t="s">
        <v>566</v>
      </c>
      <c r="B38" s="580"/>
      <c r="C38" s="580"/>
      <c r="D38" s="604"/>
      <c r="E38" s="604"/>
      <c r="F38" s="605"/>
      <c r="G38" s="580"/>
      <c r="H38" s="608" t="s">
        <v>560</v>
      </c>
      <c r="I38" s="604"/>
      <c r="J38" s="604"/>
      <c r="K38" s="604"/>
    </row>
    <row r="39" spans="1:11" ht="15.75">
      <c r="A39" s="580" t="s">
        <v>186</v>
      </c>
      <c r="B39" s="580" t="str">
        <f>"Year 2020"</f>
        <v>Year 2020</v>
      </c>
      <c r="C39" s="580"/>
      <c r="D39" s="590">
        <f>-K36</f>
        <v>-4260434.8429852007</v>
      </c>
      <c r="E39" s="590"/>
      <c r="F39" s="605">
        <f>+F32</f>
        <v>4.0949999999999997E-3</v>
      </c>
      <c r="G39" s="580"/>
      <c r="H39" s="604">
        <f xml:space="preserve"> -F39*D39</f>
        <v>17446.480682024394</v>
      </c>
      <c r="I39" s="604">
        <f>PMT(F39,12,K$36)</f>
        <v>-364557.21342918038</v>
      </c>
      <c r="J39" s="604"/>
      <c r="K39" s="604">
        <f>(+D39+D39*F39-I39)*-1</f>
        <v>3913324.110238045</v>
      </c>
    </row>
    <row r="40" spans="1:11" ht="15.75">
      <c r="A40" s="580" t="s">
        <v>561</v>
      </c>
      <c r="B40" s="580" t="str">
        <f>+B39</f>
        <v>Year 2020</v>
      </c>
      <c r="C40" s="580"/>
      <c r="D40" s="590">
        <f>-K39</f>
        <v>-3913324.110238045</v>
      </c>
      <c r="E40" s="590"/>
      <c r="F40" s="605">
        <f>+F39</f>
        <v>4.0949999999999997E-3</v>
      </c>
      <c r="G40" s="580"/>
      <c r="H40" s="604">
        <f xml:space="preserve"> -F40*D40</f>
        <v>16025.062231424792</v>
      </c>
      <c r="I40" s="604">
        <f>I39</f>
        <v>-364557.21342918038</v>
      </c>
      <c r="J40" s="604"/>
      <c r="K40" s="604">
        <f t="shared" ref="K40:K50" si="6">(+D40+D40*F40-I40)*-1</f>
        <v>3564791.9590402893</v>
      </c>
    </row>
    <row r="41" spans="1:11" ht="15.75">
      <c r="A41" s="580" t="s">
        <v>187</v>
      </c>
      <c r="B41" s="580" t="str">
        <f>+B40</f>
        <v>Year 2020</v>
      </c>
      <c r="C41" s="580"/>
      <c r="D41" s="590">
        <f t="shared" ref="D41:D50" si="7">-K40</f>
        <v>-3564791.9590402893</v>
      </c>
      <c r="E41" s="590"/>
      <c r="F41" s="605">
        <f t="shared" ref="F41:F50" si="8">+F40</f>
        <v>4.0949999999999997E-3</v>
      </c>
      <c r="G41" s="580"/>
      <c r="H41" s="604">
        <f t="shared" ref="H41:H50" si="9" xml:space="preserve"> -F41*D41</f>
        <v>14597.823072269983</v>
      </c>
      <c r="I41" s="604">
        <f t="shared" ref="I41:I50" si="10">I40</f>
        <v>-364557.21342918038</v>
      </c>
      <c r="J41" s="604"/>
      <c r="K41" s="604">
        <f t="shared" si="6"/>
        <v>3214832.5686833789</v>
      </c>
    </row>
    <row r="42" spans="1:11" ht="15.75">
      <c r="A42" s="580" t="s">
        <v>188</v>
      </c>
      <c r="B42" s="580" t="str">
        <f>+B41</f>
        <v>Year 2020</v>
      </c>
      <c r="C42" s="580"/>
      <c r="D42" s="590">
        <f t="shared" si="7"/>
        <v>-3214832.5686833789</v>
      </c>
      <c r="E42" s="590"/>
      <c r="F42" s="605">
        <f t="shared" si="8"/>
        <v>4.0949999999999997E-3</v>
      </c>
      <c r="G42" s="580"/>
      <c r="H42" s="604">
        <f t="shared" si="9"/>
        <v>13164.739368758435</v>
      </c>
      <c r="I42" s="604">
        <f t="shared" si="10"/>
        <v>-364557.21342918038</v>
      </c>
      <c r="J42" s="604"/>
      <c r="K42" s="604">
        <f t="shared" si="6"/>
        <v>2863440.0946229571</v>
      </c>
    </row>
    <row r="43" spans="1:11" ht="15.75">
      <c r="A43" s="580" t="s">
        <v>189</v>
      </c>
      <c r="B43" s="580" t="str">
        <f>+B42</f>
        <v>Year 2020</v>
      </c>
      <c r="C43" s="580"/>
      <c r="D43" s="590">
        <f t="shared" si="7"/>
        <v>-2863440.0946229571</v>
      </c>
      <c r="E43" s="590"/>
      <c r="F43" s="605">
        <f t="shared" si="8"/>
        <v>4.0949999999999997E-3</v>
      </c>
      <c r="G43" s="580"/>
      <c r="H43" s="604">
        <f t="shared" si="9"/>
        <v>11725.787187481008</v>
      </c>
      <c r="I43" s="604">
        <f>I42</f>
        <v>-364557.21342918038</v>
      </c>
      <c r="J43" s="604"/>
      <c r="K43" s="604">
        <f t="shared" si="6"/>
        <v>2510608.6683812574</v>
      </c>
    </row>
    <row r="44" spans="1:11" ht="15.75">
      <c r="A44" s="580" t="s">
        <v>383</v>
      </c>
      <c r="B44" s="580" t="str">
        <f>B43</f>
        <v>Year 2020</v>
      </c>
      <c r="C44" s="2"/>
      <c r="D44" s="590">
        <f t="shared" si="7"/>
        <v>-2510608.6683812574</v>
      </c>
      <c r="E44" s="590"/>
      <c r="F44" s="605">
        <f t="shared" si="8"/>
        <v>4.0949999999999997E-3</v>
      </c>
      <c r="G44" s="580"/>
      <c r="H44" s="604">
        <f t="shared" si="9"/>
        <v>10280.942497021248</v>
      </c>
      <c r="I44" s="604">
        <f t="shared" si="10"/>
        <v>-364557.21342918038</v>
      </c>
      <c r="J44" s="604"/>
      <c r="K44" s="604">
        <f t="shared" si="6"/>
        <v>2156332.3974490981</v>
      </c>
    </row>
    <row r="45" spans="1:11" ht="15.75">
      <c r="A45" s="580" t="s">
        <v>190</v>
      </c>
      <c r="B45" s="580" t="str">
        <f t="shared" ref="B45:B50" si="11">+B44</f>
        <v>Year 2020</v>
      </c>
      <c r="C45" s="580"/>
      <c r="D45" s="590">
        <f t="shared" si="7"/>
        <v>-2156332.3974490981</v>
      </c>
      <c r="E45" s="590"/>
      <c r="F45" s="605">
        <f t="shared" si="8"/>
        <v>4.0949999999999997E-3</v>
      </c>
      <c r="G45" s="580"/>
      <c r="H45" s="604">
        <f t="shared" si="9"/>
        <v>8830.1811675540557</v>
      </c>
      <c r="I45" s="604">
        <f t="shared" si="10"/>
        <v>-364557.21342918038</v>
      </c>
      <c r="J45" s="604"/>
      <c r="K45" s="604">
        <f t="shared" si="6"/>
        <v>1800605.3651874717</v>
      </c>
    </row>
    <row r="46" spans="1:11" ht="15.75">
      <c r="A46" s="580" t="s">
        <v>191</v>
      </c>
      <c r="B46" s="580" t="str">
        <f t="shared" si="11"/>
        <v>Year 2020</v>
      </c>
      <c r="C46" s="580"/>
      <c r="D46" s="590">
        <f t="shared" si="7"/>
        <v>-1800605.3651874717</v>
      </c>
      <c r="E46" s="590"/>
      <c r="F46" s="605">
        <f t="shared" si="8"/>
        <v>4.0949999999999997E-3</v>
      </c>
      <c r="G46" s="580"/>
      <c r="H46" s="604">
        <f t="shared" si="9"/>
        <v>7373.4789704426958</v>
      </c>
      <c r="I46" s="604">
        <f t="shared" si="10"/>
        <v>-364557.21342918038</v>
      </c>
      <c r="J46" s="604"/>
      <c r="K46" s="604">
        <f t="shared" si="6"/>
        <v>1443421.630728734</v>
      </c>
    </row>
    <row r="47" spans="1:11" ht="15.75">
      <c r="A47" s="580" t="s">
        <v>193</v>
      </c>
      <c r="B47" s="580" t="str">
        <f t="shared" si="11"/>
        <v>Year 2020</v>
      </c>
      <c r="C47" s="580"/>
      <c r="D47" s="590">
        <f t="shared" si="7"/>
        <v>-1443421.630728734</v>
      </c>
      <c r="E47" s="590"/>
      <c r="F47" s="605">
        <f t="shared" si="8"/>
        <v>4.0949999999999997E-3</v>
      </c>
      <c r="G47" s="580"/>
      <c r="H47" s="604">
        <f t="shared" si="9"/>
        <v>5910.8115778341653</v>
      </c>
      <c r="I47" s="604">
        <f>I46</f>
        <v>-364557.21342918038</v>
      </c>
      <c r="J47" s="604"/>
      <c r="K47" s="604">
        <f t="shared" si="6"/>
        <v>1084775.2288773877</v>
      </c>
    </row>
    <row r="48" spans="1:11" ht="15.75">
      <c r="A48" s="580" t="s">
        <v>562</v>
      </c>
      <c r="B48" s="580" t="str">
        <f t="shared" si="11"/>
        <v>Year 2020</v>
      </c>
      <c r="C48" s="580"/>
      <c r="D48" s="590">
        <f t="shared" si="7"/>
        <v>-1084775.2288773877</v>
      </c>
      <c r="E48" s="590"/>
      <c r="F48" s="605">
        <f t="shared" si="8"/>
        <v>4.0949999999999997E-3</v>
      </c>
      <c r="G48" s="580"/>
      <c r="H48" s="604">
        <f t="shared" si="9"/>
        <v>4442.154562252902</v>
      </c>
      <c r="I48" s="604">
        <f t="shared" si="10"/>
        <v>-364557.21342918038</v>
      </c>
      <c r="J48" s="604"/>
      <c r="K48" s="604">
        <f t="shared" si="6"/>
        <v>724660.17001046007</v>
      </c>
    </row>
    <row r="49" spans="1:11" ht="15.75">
      <c r="A49" s="580" t="s">
        <v>563</v>
      </c>
      <c r="B49" s="580" t="str">
        <f t="shared" si="11"/>
        <v>Year 2020</v>
      </c>
      <c r="C49" s="580"/>
      <c r="D49" s="590">
        <f t="shared" si="7"/>
        <v>-724660.17001046007</v>
      </c>
      <c r="E49" s="590"/>
      <c r="F49" s="605">
        <f t="shared" si="8"/>
        <v>4.0949999999999997E-3</v>
      </c>
      <c r="G49" s="580"/>
      <c r="H49" s="604">
        <f t="shared" si="9"/>
        <v>2967.4833961928339</v>
      </c>
      <c r="I49" s="604">
        <f t="shared" si="10"/>
        <v>-364557.21342918038</v>
      </c>
      <c r="J49" s="604"/>
      <c r="K49" s="604">
        <f t="shared" si="6"/>
        <v>363070.43997747247</v>
      </c>
    </row>
    <row r="50" spans="1:11" ht="15.75">
      <c r="A50" s="580" t="s">
        <v>192</v>
      </c>
      <c r="B50" s="580" t="str">
        <f t="shared" si="11"/>
        <v>Year 2020</v>
      </c>
      <c r="C50" s="580"/>
      <c r="D50" s="590">
        <f t="shared" si="7"/>
        <v>-363070.43997747247</v>
      </c>
      <c r="E50" s="590"/>
      <c r="F50" s="605">
        <f t="shared" si="8"/>
        <v>4.0949999999999997E-3</v>
      </c>
      <c r="G50" s="580"/>
      <c r="H50" s="606">
        <f t="shared" si="9"/>
        <v>1486.7734517077497</v>
      </c>
      <c r="I50" s="604">
        <f t="shared" si="10"/>
        <v>-364557.21342918038</v>
      </c>
      <c r="J50" s="604"/>
      <c r="K50" s="604">
        <f t="shared" si="6"/>
        <v>-1.7462298274040222E-10</v>
      </c>
    </row>
    <row r="51" spans="1:11" ht="15.75">
      <c r="A51" s="580"/>
      <c r="B51" s="580"/>
      <c r="C51" s="580"/>
      <c r="D51" s="590"/>
      <c r="E51" s="590"/>
      <c r="F51" s="605"/>
      <c r="G51" s="580"/>
      <c r="H51" s="604">
        <f>SUM(H39:H50)</f>
        <v>114251.71816496424</v>
      </c>
      <c r="I51" s="604"/>
      <c r="J51" s="604"/>
      <c r="K51" s="604"/>
    </row>
    <row r="52" spans="1:11" ht="15">
      <c r="A52" s="2"/>
      <c r="B52" s="2"/>
      <c r="C52" s="2"/>
      <c r="D52" s="2"/>
      <c r="E52" s="2"/>
      <c r="F52" s="2"/>
      <c r="G52" s="2"/>
      <c r="H52" s="2"/>
      <c r="I52" s="611"/>
      <c r="J52" s="2"/>
      <c r="K52" s="2"/>
    </row>
    <row r="53" spans="1:11" ht="15.75">
      <c r="A53" s="580" t="s">
        <v>571</v>
      </c>
      <c r="B53" s="2"/>
      <c r="C53" s="2"/>
      <c r="D53" s="2"/>
      <c r="E53" s="2"/>
      <c r="F53" s="2"/>
      <c r="G53" s="2"/>
      <c r="H53" s="2"/>
      <c r="I53" s="612">
        <f>(SUM(I39:I50)*-1)</f>
        <v>4374686.5611501643</v>
      </c>
      <c r="J53" s="2"/>
      <c r="K53" s="2"/>
    </row>
    <row r="54" spans="1:11" ht="15.75">
      <c r="A54" s="580" t="s">
        <v>567</v>
      </c>
      <c r="B54" s="2"/>
      <c r="C54" s="2"/>
      <c r="D54" s="2"/>
      <c r="E54" s="2"/>
      <c r="F54" s="2"/>
      <c r="G54" s="2"/>
      <c r="H54" s="2"/>
      <c r="I54" s="613">
        <f>+H10</f>
        <v>-3955595</v>
      </c>
      <c r="J54" s="2"/>
      <c r="K54" s="2"/>
    </row>
    <row r="55" spans="1:11" ht="15.75">
      <c r="A55" s="580" t="s">
        <v>568</v>
      </c>
      <c r="B55" s="2"/>
      <c r="C55" s="2"/>
      <c r="D55" s="2"/>
      <c r="E55" s="2"/>
      <c r="F55" s="2"/>
      <c r="G55" s="2"/>
      <c r="H55" s="2"/>
      <c r="I55" s="612">
        <f>(I53+I54)</f>
        <v>419091.56115016434</v>
      </c>
      <c r="J55" s="2"/>
      <c r="K55" s="2"/>
    </row>
    <row r="57" spans="1:11" ht="60.6" customHeight="1">
      <c r="A57" s="1327" t="s">
        <v>572</v>
      </c>
      <c r="B57" s="1327"/>
      <c r="C57" s="1327"/>
      <c r="D57" s="1327"/>
      <c r="E57" s="140"/>
      <c r="F57" s="140"/>
      <c r="G57" s="140"/>
      <c r="H57" s="140"/>
      <c r="I57" s="140"/>
      <c r="J57" s="140"/>
      <c r="K57" s="140"/>
    </row>
  </sheetData>
  <mergeCells count="5">
    <mergeCell ref="A1:K1"/>
    <mergeCell ref="A2:K2"/>
    <mergeCell ref="A3:K3"/>
    <mergeCell ref="D4:G4"/>
    <mergeCell ref="A57:D57"/>
  </mergeCells>
  <pageMargins left="0.7" right="0.7" top="0.75" bottom="0.75" header="0.3" footer="0.3"/>
  <pageSetup scale="5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K57"/>
  <sheetViews>
    <sheetView tabSelected="1" view="pageBreakPreview" zoomScale="60" zoomScaleNormal="100" workbookViewId="0">
      <selection activeCell="D9" sqref="D9"/>
    </sheetView>
  </sheetViews>
  <sheetFormatPr defaultRowHeight="12.75"/>
  <cols>
    <col min="1" max="1" width="24" customWidth="1"/>
    <col min="4" max="4" width="18" customWidth="1"/>
    <col min="8" max="8" width="17.5703125" customWidth="1"/>
    <col min="9" max="9" width="14" customWidth="1"/>
    <col min="11" max="11" width="14.42578125" customWidth="1"/>
  </cols>
  <sheetData>
    <row r="1" spans="1:11" ht="15.75">
      <c r="A1" s="1325" t="s">
        <v>388</v>
      </c>
      <c r="B1" s="1325"/>
      <c r="C1" s="1325"/>
      <c r="D1" s="1325"/>
      <c r="E1" s="1325"/>
      <c r="F1" s="1325"/>
      <c r="G1" s="1325"/>
      <c r="H1" s="1325"/>
      <c r="I1" s="1325"/>
      <c r="J1" s="1325"/>
      <c r="K1" s="1325"/>
    </row>
    <row r="2" spans="1:11" ht="15.75">
      <c r="A2" s="1326" t="s">
        <v>569</v>
      </c>
      <c r="B2" s="1326"/>
      <c r="C2" s="1326"/>
      <c r="D2" s="1326"/>
      <c r="E2" s="1326"/>
      <c r="F2" s="1326"/>
      <c r="G2" s="1326"/>
      <c r="H2" s="1326"/>
      <c r="I2" s="1326"/>
      <c r="J2" s="1326"/>
      <c r="K2" s="1326"/>
    </row>
    <row r="3" spans="1:11" ht="15.75">
      <c r="A3" s="1326" t="s">
        <v>570</v>
      </c>
      <c r="B3" s="1326"/>
      <c r="C3" s="1326"/>
      <c r="D3" s="1326"/>
      <c r="E3" s="1326"/>
      <c r="F3" s="1326"/>
      <c r="G3" s="1326"/>
      <c r="H3" s="1326"/>
      <c r="I3" s="1326"/>
      <c r="J3" s="1326"/>
      <c r="K3" s="1326"/>
    </row>
    <row r="4" spans="1:11" ht="15.75">
      <c r="A4" s="2"/>
      <c r="B4" s="2"/>
      <c r="C4" s="2"/>
      <c r="D4" s="1326"/>
      <c r="E4" s="1326"/>
      <c r="F4" s="1326"/>
      <c r="G4" s="1326"/>
      <c r="H4" s="2"/>
      <c r="I4" s="2"/>
      <c r="J4" s="2"/>
      <c r="K4" s="2"/>
    </row>
    <row r="7" spans="1:11" ht="16.5" thickBot="1">
      <c r="A7" s="579"/>
      <c r="B7" s="580"/>
      <c r="C7" s="580"/>
      <c r="D7" s="580"/>
      <c r="E7" s="580"/>
      <c r="F7" s="580"/>
      <c r="G7" s="580"/>
      <c r="H7" s="580"/>
      <c r="I7" s="580"/>
      <c r="J7" s="580"/>
      <c r="K7" s="580"/>
    </row>
    <row r="8" spans="1:11" ht="63">
      <c r="A8" s="581" t="str">
        <f>"Reconciliation Revenue Requirement For Year 2018 Available May 25, 2019"</f>
        <v>Reconciliation Revenue Requirement For Year 2018 Available May 25, 2019</v>
      </c>
      <c r="B8" s="580"/>
      <c r="C8" s="580"/>
      <c r="D8" s="581" t="s">
        <v>1064</v>
      </c>
      <c r="E8" s="580"/>
      <c r="F8" s="580"/>
      <c r="G8" s="2"/>
      <c r="H8" s="581" t="s">
        <v>550</v>
      </c>
      <c r="I8" s="2"/>
      <c r="J8" s="2"/>
      <c r="K8" s="2"/>
    </row>
    <row r="9" spans="1:11" ht="15.75">
      <c r="A9" s="582" t="s">
        <v>115</v>
      </c>
      <c r="B9" s="580"/>
      <c r="C9" s="580"/>
      <c r="D9" s="582"/>
      <c r="E9" s="580"/>
      <c r="F9" s="580"/>
      <c r="G9" s="2"/>
      <c r="H9" s="583"/>
      <c r="I9" s="2"/>
      <c r="J9" s="2"/>
      <c r="K9" s="2"/>
    </row>
    <row r="10" spans="1:11" ht="16.5" thickBot="1">
      <c r="A10" s="663">
        <v>0</v>
      </c>
      <c r="B10" s="584" t="str">
        <f>"-"</f>
        <v>-</v>
      </c>
      <c r="C10" s="585"/>
      <c r="D10" s="663">
        <v>0</v>
      </c>
      <c r="E10" s="586"/>
      <c r="F10" s="587" t="str">
        <f>"="</f>
        <v>=</v>
      </c>
      <c r="G10" s="588"/>
      <c r="H10" s="589">
        <f>IF(A10=0,0,D10-A10)</f>
        <v>0</v>
      </c>
      <c r="I10" s="2"/>
      <c r="J10" s="2"/>
      <c r="K10" s="2"/>
    </row>
    <row r="11" spans="1:11" ht="15.75">
      <c r="A11" s="590"/>
      <c r="B11" s="591"/>
      <c r="C11" s="591"/>
      <c r="D11" s="590"/>
      <c r="E11" s="590"/>
      <c r="F11" s="591"/>
      <c r="G11" s="590"/>
      <c r="H11" s="2"/>
      <c r="I11" s="2"/>
      <c r="J11" s="2"/>
      <c r="K11" s="2"/>
    </row>
    <row r="12" spans="1:11" ht="16.5" thickBot="1">
      <c r="A12" s="592"/>
      <c r="B12" s="593"/>
      <c r="C12" s="593"/>
      <c r="D12" s="592"/>
      <c r="E12" s="592"/>
      <c r="F12" s="593"/>
      <c r="G12" s="592"/>
      <c r="H12" s="594"/>
      <c r="I12" s="594"/>
      <c r="J12" s="594"/>
      <c r="K12" s="594"/>
    </row>
    <row r="13" spans="1:11" ht="15.75">
      <c r="A13" s="595"/>
      <c r="B13" s="591"/>
      <c r="C13" s="591"/>
      <c r="D13" s="590"/>
      <c r="E13" s="590"/>
      <c r="F13" s="591"/>
      <c r="G13" s="590"/>
      <c r="H13" s="2"/>
      <c r="I13" s="2"/>
      <c r="J13" s="2"/>
      <c r="K13" s="2"/>
    </row>
    <row r="14" spans="1:11" ht="63">
      <c r="A14" s="596" t="s">
        <v>551</v>
      </c>
      <c r="B14" s="591"/>
      <c r="C14" s="591"/>
      <c r="D14" s="597" t="s">
        <v>552</v>
      </c>
      <c r="E14" s="590"/>
      <c r="F14" s="597" t="s">
        <v>553</v>
      </c>
      <c r="G14" s="598" t="s">
        <v>554</v>
      </c>
      <c r="H14" s="599" t="s">
        <v>555</v>
      </c>
      <c r="I14" s="597" t="s">
        <v>556</v>
      </c>
      <c r="J14" s="600"/>
      <c r="K14" s="597" t="s">
        <v>557</v>
      </c>
    </row>
    <row r="15" spans="1:11" ht="15.75">
      <c r="A15" s="596" t="s">
        <v>558</v>
      </c>
      <c r="B15" s="591"/>
      <c r="C15" s="591"/>
      <c r="D15" s="2"/>
      <c r="E15" s="601"/>
      <c r="F15" s="664">
        <f>'WSQ NSPL'!F15</f>
        <v>4.0949999999999997E-3</v>
      </c>
      <c r="H15" s="2"/>
      <c r="I15" s="2"/>
      <c r="J15" s="2"/>
      <c r="K15" s="2"/>
    </row>
    <row r="16" spans="1:11" ht="15.75">
      <c r="A16" s="596"/>
      <c r="B16" s="591"/>
      <c r="C16" s="591"/>
      <c r="D16" s="2"/>
      <c r="E16" s="601"/>
      <c r="F16" s="601"/>
      <c r="G16" s="590"/>
      <c r="H16" s="2"/>
      <c r="I16" s="2"/>
      <c r="J16" s="2"/>
      <c r="K16" s="2"/>
    </row>
    <row r="17" spans="1:11" ht="15.75">
      <c r="A17" s="596" t="s">
        <v>1065</v>
      </c>
      <c r="B17" s="591"/>
      <c r="C17" s="591"/>
      <c r="D17" s="2"/>
      <c r="E17" s="601"/>
      <c r="F17" s="601"/>
      <c r="G17" s="590"/>
      <c r="H17" s="2"/>
      <c r="I17" s="2"/>
      <c r="J17" s="2"/>
      <c r="K17" s="2"/>
    </row>
    <row r="18" spans="1:11" ht="15.75">
      <c r="A18" s="602" t="s">
        <v>115</v>
      </c>
      <c r="B18" s="591"/>
      <c r="C18" s="591"/>
      <c r="D18" s="591"/>
      <c r="E18" s="591"/>
      <c r="F18" s="591" t="s">
        <v>115</v>
      </c>
      <c r="G18" s="2"/>
      <c r="H18" s="2"/>
      <c r="I18" s="2"/>
      <c r="J18" s="2"/>
      <c r="K18" s="2"/>
    </row>
    <row r="19" spans="1:11" ht="15.75">
      <c r="A19" s="603"/>
      <c r="B19" s="591"/>
      <c r="C19" s="591"/>
      <c r="D19" s="591"/>
      <c r="E19" s="591"/>
      <c r="F19" s="2"/>
      <c r="G19" s="2"/>
      <c r="H19" s="598"/>
      <c r="I19" s="591"/>
      <c r="J19" s="591"/>
      <c r="K19" s="591"/>
    </row>
    <row r="20" spans="1:11" ht="15.75">
      <c r="A20" s="603" t="s">
        <v>559</v>
      </c>
      <c r="B20" s="591"/>
      <c r="C20" s="591"/>
      <c r="D20" s="591"/>
      <c r="E20" s="591"/>
      <c r="F20" s="2"/>
      <c r="G20" s="2"/>
      <c r="H20" s="598" t="s">
        <v>560</v>
      </c>
      <c r="I20" s="591"/>
      <c r="J20" s="591"/>
      <c r="K20" s="591"/>
    </row>
    <row r="21" spans="1:11" ht="15.75">
      <c r="A21" s="580" t="s">
        <v>186</v>
      </c>
      <c r="B21" s="580" t="str">
        <f>"Year 2018"</f>
        <v>Year 2018</v>
      </c>
      <c r="C21" s="580"/>
      <c r="D21" s="604">
        <f>H10/12</f>
        <v>0</v>
      </c>
      <c r="E21" s="604"/>
      <c r="F21" s="605">
        <f>+F15</f>
        <v>4.0949999999999997E-3</v>
      </c>
      <c r="G21" s="580">
        <v>12</v>
      </c>
      <c r="H21" s="604">
        <f>F21*D21*G21*-1</f>
        <v>0</v>
      </c>
      <c r="I21" s="604"/>
      <c r="J21" s="604"/>
      <c r="K21" s="604">
        <f>(-H21+D21)*-1</f>
        <v>0</v>
      </c>
    </row>
    <row r="22" spans="1:11" ht="15.75">
      <c r="A22" s="580" t="s">
        <v>561</v>
      </c>
      <c r="B22" s="580" t="str">
        <f>B21</f>
        <v>Year 2018</v>
      </c>
      <c r="C22" s="580"/>
      <c r="D22" s="604">
        <f>+D21</f>
        <v>0</v>
      </c>
      <c r="E22" s="604"/>
      <c r="F22" s="605">
        <f>+F21</f>
        <v>4.0949999999999997E-3</v>
      </c>
      <c r="G22" s="580">
        <f t="shared" ref="G22:G32" si="0">+G21-1</f>
        <v>11</v>
      </c>
      <c r="H22" s="604">
        <f t="shared" ref="H22:H32" si="1">F22*D22*G22*-1</f>
        <v>0</v>
      </c>
      <c r="I22" s="604"/>
      <c r="J22" s="604"/>
      <c r="K22" s="604">
        <f t="shared" ref="K22:K32" si="2">(-H22+D22)*-1</f>
        <v>0</v>
      </c>
    </row>
    <row r="23" spans="1:11" ht="15.75">
      <c r="A23" s="580" t="s">
        <v>187</v>
      </c>
      <c r="B23" s="580" t="str">
        <f t="shared" ref="B23:B32" si="3">B22</f>
        <v>Year 2018</v>
      </c>
      <c r="C23" s="580"/>
      <c r="D23" s="604">
        <f t="shared" ref="D23:D32" si="4">+D22</f>
        <v>0</v>
      </c>
      <c r="E23" s="604"/>
      <c r="F23" s="605">
        <f t="shared" ref="F23:F32" si="5">+F22</f>
        <v>4.0949999999999997E-3</v>
      </c>
      <c r="G23" s="580">
        <f t="shared" si="0"/>
        <v>10</v>
      </c>
      <c r="H23" s="604">
        <f t="shared" si="1"/>
        <v>0</v>
      </c>
      <c r="I23" s="604"/>
      <c r="J23" s="604"/>
      <c r="K23" s="604">
        <f t="shared" si="2"/>
        <v>0</v>
      </c>
    </row>
    <row r="24" spans="1:11" ht="15.75">
      <c r="A24" s="580" t="s">
        <v>188</v>
      </c>
      <c r="B24" s="580" t="str">
        <f t="shared" si="3"/>
        <v>Year 2018</v>
      </c>
      <c r="C24" s="580"/>
      <c r="D24" s="604">
        <f t="shared" si="4"/>
        <v>0</v>
      </c>
      <c r="E24" s="604"/>
      <c r="F24" s="605">
        <f t="shared" si="5"/>
        <v>4.0949999999999997E-3</v>
      </c>
      <c r="G24" s="580">
        <f t="shared" si="0"/>
        <v>9</v>
      </c>
      <c r="H24" s="604">
        <f t="shared" si="1"/>
        <v>0</v>
      </c>
      <c r="I24" s="604"/>
      <c r="J24" s="604"/>
      <c r="K24" s="604">
        <f t="shared" si="2"/>
        <v>0</v>
      </c>
    </row>
    <row r="25" spans="1:11" ht="15.75">
      <c r="A25" s="580" t="s">
        <v>189</v>
      </c>
      <c r="B25" s="580" t="str">
        <f t="shared" si="3"/>
        <v>Year 2018</v>
      </c>
      <c r="C25" s="580"/>
      <c r="D25" s="604">
        <f t="shared" si="4"/>
        <v>0</v>
      </c>
      <c r="E25" s="604"/>
      <c r="F25" s="605">
        <f t="shared" si="5"/>
        <v>4.0949999999999997E-3</v>
      </c>
      <c r="G25" s="580">
        <f t="shared" si="0"/>
        <v>8</v>
      </c>
      <c r="H25" s="604">
        <f t="shared" si="1"/>
        <v>0</v>
      </c>
      <c r="I25" s="604"/>
      <c r="J25" s="604"/>
      <c r="K25" s="604">
        <f t="shared" si="2"/>
        <v>0</v>
      </c>
    </row>
    <row r="26" spans="1:11" ht="15.75">
      <c r="A26" s="580" t="s">
        <v>383</v>
      </c>
      <c r="B26" s="580" t="str">
        <f t="shared" si="3"/>
        <v>Year 2018</v>
      </c>
      <c r="C26" s="580"/>
      <c r="D26" s="604">
        <f t="shared" si="4"/>
        <v>0</v>
      </c>
      <c r="E26" s="604"/>
      <c r="F26" s="605">
        <f t="shared" si="5"/>
        <v>4.0949999999999997E-3</v>
      </c>
      <c r="G26" s="580">
        <f t="shared" si="0"/>
        <v>7</v>
      </c>
      <c r="H26" s="604">
        <f t="shared" si="1"/>
        <v>0</v>
      </c>
      <c r="I26" s="604"/>
      <c r="J26" s="604"/>
      <c r="K26" s="604">
        <f t="shared" si="2"/>
        <v>0</v>
      </c>
    </row>
    <row r="27" spans="1:11" ht="15.75">
      <c r="A27" s="580" t="s">
        <v>190</v>
      </c>
      <c r="B27" s="580" t="str">
        <f t="shared" si="3"/>
        <v>Year 2018</v>
      </c>
      <c r="C27" s="580"/>
      <c r="D27" s="604">
        <f t="shared" si="4"/>
        <v>0</v>
      </c>
      <c r="E27" s="604"/>
      <c r="F27" s="605">
        <f t="shared" si="5"/>
        <v>4.0949999999999997E-3</v>
      </c>
      <c r="G27" s="580">
        <f t="shared" si="0"/>
        <v>6</v>
      </c>
      <c r="H27" s="604">
        <f t="shared" si="1"/>
        <v>0</v>
      </c>
      <c r="I27" s="604"/>
      <c r="J27" s="604"/>
      <c r="K27" s="604">
        <f t="shared" si="2"/>
        <v>0</v>
      </c>
    </row>
    <row r="28" spans="1:11" ht="15.75">
      <c r="A28" s="580" t="s">
        <v>191</v>
      </c>
      <c r="B28" s="580" t="str">
        <f t="shared" si="3"/>
        <v>Year 2018</v>
      </c>
      <c r="C28" s="580"/>
      <c r="D28" s="604">
        <f t="shared" si="4"/>
        <v>0</v>
      </c>
      <c r="E28" s="604"/>
      <c r="F28" s="605">
        <f t="shared" si="5"/>
        <v>4.0949999999999997E-3</v>
      </c>
      <c r="G28" s="580">
        <f t="shared" si="0"/>
        <v>5</v>
      </c>
      <c r="H28" s="604">
        <f t="shared" si="1"/>
        <v>0</v>
      </c>
      <c r="I28" s="604"/>
      <c r="J28" s="604"/>
      <c r="K28" s="604">
        <f t="shared" si="2"/>
        <v>0</v>
      </c>
    </row>
    <row r="29" spans="1:11" ht="15.75">
      <c r="A29" s="580" t="s">
        <v>193</v>
      </c>
      <c r="B29" s="580" t="str">
        <f t="shared" si="3"/>
        <v>Year 2018</v>
      </c>
      <c r="C29" s="580"/>
      <c r="D29" s="604">
        <f t="shared" si="4"/>
        <v>0</v>
      </c>
      <c r="E29" s="604"/>
      <c r="F29" s="605">
        <f t="shared" si="5"/>
        <v>4.0949999999999997E-3</v>
      </c>
      <c r="G29" s="580">
        <f t="shared" si="0"/>
        <v>4</v>
      </c>
      <c r="H29" s="604">
        <f t="shared" si="1"/>
        <v>0</v>
      </c>
      <c r="I29" s="604"/>
      <c r="J29" s="604"/>
      <c r="K29" s="604">
        <f t="shared" si="2"/>
        <v>0</v>
      </c>
    </row>
    <row r="30" spans="1:11" ht="15.75">
      <c r="A30" s="580" t="s">
        <v>562</v>
      </c>
      <c r="B30" s="580" t="str">
        <f t="shared" si="3"/>
        <v>Year 2018</v>
      </c>
      <c r="C30" s="580"/>
      <c r="D30" s="604">
        <f t="shared" si="4"/>
        <v>0</v>
      </c>
      <c r="E30" s="604"/>
      <c r="F30" s="605">
        <f t="shared" si="5"/>
        <v>4.0949999999999997E-3</v>
      </c>
      <c r="G30" s="580">
        <f t="shared" si="0"/>
        <v>3</v>
      </c>
      <c r="H30" s="604">
        <f t="shared" si="1"/>
        <v>0</v>
      </c>
      <c r="I30" s="604"/>
      <c r="J30" s="604"/>
      <c r="K30" s="604">
        <f t="shared" si="2"/>
        <v>0</v>
      </c>
    </row>
    <row r="31" spans="1:11" ht="15.75">
      <c r="A31" s="580" t="s">
        <v>563</v>
      </c>
      <c r="B31" s="580" t="str">
        <f t="shared" si="3"/>
        <v>Year 2018</v>
      </c>
      <c r="C31" s="580"/>
      <c r="D31" s="604">
        <f t="shared" si="4"/>
        <v>0</v>
      </c>
      <c r="E31" s="604"/>
      <c r="F31" s="605">
        <f t="shared" si="5"/>
        <v>4.0949999999999997E-3</v>
      </c>
      <c r="G31" s="580">
        <f t="shared" si="0"/>
        <v>2</v>
      </c>
      <c r="H31" s="604">
        <f t="shared" si="1"/>
        <v>0</v>
      </c>
      <c r="I31" s="604"/>
      <c r="J31" s="604"/>
      <c r="K31" s="604">
        <f t="shared" si="2"/>
        <v>0</v>
      </c>
    </row>
    <row r="32" spans="1:11" ht="15.75">
      <c r="A32" s="580" t="s">
        <v>192</v>
      </c>
      <c r="B32" s="580" t="str">
        <f t="shared" si="3"/>
        <v>Year 2018</v>
      </c>
      <c r="C32" s="580"/>
      <c r="D32" s="604">
        <f t="shared" si="4"/>
        <v>0</v>
      </c>
      <c r="E32" s="604"/>
      <c r="F32" s="605">
        <f t="shared" si="5"/>
        <v>4.0949999999999997E-3</v>
      </c>
      <c r="G32" s="580">
        <f t="shared" si="0"/>
        <v>1</v>
      </c>
      <c r="H32" s="606">
        <f t="shared" si="1"/>
        <v>0</v>
      </c>
      <c r="I32" s="604"/>
      <c r="J32" s="604"/>
      <c r="K32" s="604">
        <f t="shared" si="2"/>
        <v>0</v>
      </c>
    </row>
    <row r="33" spans="1:11" ht="15.75">
      <c r="A33" s="580"/>
      <c r="B33" s="580"/>
      <c r="C33" s="580"/>
      <c r="D33" s="604"/>
      <c r="E33" s="604"/>
      <c r="F33" s="605"/>
      <c r="G33" s="580"/>
      <c r="H33" s="604">
        <f>SUM(H21:H32)</f>
        <v>0</v>
      </c>
      <c r="I33" s="604"/>
      <c r="J33" s="604"/>
      <c r="K33" s="607">
        <f>SUM(K21:K32)</f>
        <v>0</v>
      </c>
    </row>
    <row r="34" spans="1:11" ht="15.75">
      <c r="A34" s="580"/>
      <c r="B34" s="580"/>
      <c r="C34" s="580"/>
      <c r="D34" s="604"/>
      <c r="E34" s="604"/>
      <c r="F34" s="605"/>
      <c r="G34" s="580"/>
      <c r="H34" s="604"/>
      <c r="I34" s="604" t="s">
        <v>115</v>
      </c>
      <c r="J34" s="604"/>
      <c r="K34" s="2"/>
    </row>
    <row r="35" spans="1:11" ht="15.75">
      <c r="A35" s="580"/>
      <c r="B35" s="580"/>
      <c r="C35" s="580"/>
      <c r="D35" s="590"/>
      <c r="E35" s="590"/>
      <c r="F35" s="605"/>
      <c r="G35" s="580"/>
      <c r="H35" s="608" t="s">
        <v>564</v>
      </c>
      <c r="I35" s="604"/>
      <c r="J35" s="604"/>
      <c r="K35" s="604"/>
    </row>
    <row r="36" spans="1:11" ht="15.75">
      <c r="A36" s="580" t="s">
        <v>565</v>
      </c>
      <c r="B36" s="580" t="str">
        <f>"Year 2019"</f>
        <v>Year 2019</v>
      </c>
      <c r="C36" s="580"/>
      <c r="D36" s="590">
        <f>K33</f>
        <v>0</v>
      </c>
      <c r="E36" s="590"/>
      <c r="F36" s="605">
        <f>+F32</f>
        <v>4.0949999999999997E-3</v>
      </c>
      <c r="G36" s="580">
        <v>12</v>
      </c>
      <c r="H36" s="604">
        <f>+G36*F36*D36</f>
        <v>0</v>
      </c>
      <c r="I36" s="604"/>
      <c r="J36" s="604"/>
      <c r="K36" s="607">
        <f>+D36+H36</f>
        <v>0</v>
      </c>
    </row>
    <row r="37" spans="1:11" ht="15.75">
      <c r="A37" s="580"/>
      <c r="B37" s="580"/>
      <c r="C37" s="580"/>
      <c r="D37" s="590"/>
      <c r="E37" s="590"/>
      <c r="F37" s="605"/>
      <c r="G37" s="580"/>
      <c r="H37" s="604"/>
      <c r="I37" s="604"/>
      <c r="J37" s="604"/>
      <c r="K37" s="604"/>
    </row>
    <row r="38" spans="1:11" ht="15.75">
      <c r="A38" s="609" t="s">
        <v>566</v>
      </c>
      <c r="B38" s="580"/>
      <c r="C38" s="580"/>
      <c r="D38" s="604"/>
      <c r="E38" s="604"/>
      <c r="F38" s="605"/>
      <c r="G38" s="580"/>
      <c r="H38" s="608" t="s">
        <v>560</v>
      </c>
      <c r="I38" s="604"/>
      <c r="J38" s="604"/>
      <c r="K38" s="604"/>
    </row>
    <row r="39" spans="1:11" ht="15.75">
      <c r="A39" s="580" t="s">
        <v>186</v>
      </c>
      <c r="B39" s="580" t="str">
        <f>"Year 2020"</f>
        <v>Year 2020</v>
      </c>
      <c r="C39" s="580"/>
      <c r="D39" s="610">
        <f>-K36</f>
        <v>0</v>
      </c>
      <c r="E39" s="590"/>
      <c r="F39" s="605">
        <f>+F32</f>
        <v>4.0949999999999997E-3</v>
      </c>
      <c r="G39" s="580"/>
      <c r="H39" s="604">
        <f xml:space="preserve"> -F39*D39</f>
        <v>0</v>
      </c>
      <c r="I39" s="604">
        <f>PMT(F39,12,K$36)</f>
        <v>0</v>
      </c>
      <c r="J39" s="604"/>
      <c r="K39" s="604">
        <f>(+D39+D39*F39-I39)*-1</f>
        <v>0</v>
      </c>
    </row>
    <row r="40" spans="1:11" ht="15.75">
      <c r="A40" s="580" t="s">
        <v>561</v>
      </c>
      <c r="B40" s="580" t="str">
        <f>+B39</f>
        <v>Year 2020</v>
      </c>
      <c r="C40" s="580"/>
      <c r="D40" s="590">
        <f>-K39</f>
        <v>0</v>
      </c>
      <c r="E40" s="590"/>
      <c r="F40" s="605">
        <f>+F39</f>
        <v>4.0949999999999997E-3</v>
      </c>
      <c r="G40" s="580"/>
      <c r="H40" s="604">
        <f xml:space="preserve"> -F40*D40</f>
        <v>0</v>
      </c>
      <c r="I40" s="604">
        <f>I39</f>
        <v>0</v>
      </c>
      <c r="J40" s="604"/>
      <c r="K40" s="604">
        <f t="shared" ref="K40:K50" si="6">(+D40+D40*F40-I40)*-1</f>
        <v>0</v>
      </c>
    </row>
    <row r="41" spans="1:11" ht="15.75">
      <c r="A41" s="580" t="s">
        <v>187</v>
      </c>
      <c r="B41" s="580" t="str">
        <f>+B40</f>
        <v>Year 2020</v>
      </c>
      <c r="C41" s="580"/>
      <c r="D41" s="590">
        <f t="shared" ref="D41:D50" si="7">-K40</f>
        <v>0</v>
      </c>
      <c r="E41" s="590"/>
      <c r="F41" s="605">
        <f t="shared" ref="F41:F50" si="8">+F40</f>
        <v>4.0949999999999997E-3</v>
      </c>
      <c r="G41" s="580"/>
      <c r="H41" s="604">
        <f t="shared" ref="H41:H50" si="9" xml:space="preserve"> -F41*D41</f>
        <v>0</v>
      </c>
      <c r="I41" s="604">
        <f t="shared" ref="I41:I50" si="10">I40</f>
        <v>0</v>
      </c>
      <c r="J41" s="604"/>
      <c r="K41" s="604">
        <f t="shared" si="6"/>
        <v>0</v>
      </c>
    </row>
    <row r="42" spans="1:11" ht="15.75">
      <c r="A42" s="580" t="s">
        <v>188</v>
      </c>
      <c r="B42" s="580" t="str">
        <f>+B41</f>
        <v>Year 2020</v>
      </c>
      <c r="C42" s="580"/>
      <c r="D42" s="590">
        <f t="shared" si="7"/>
        <v>0</v>
      </c>
      <c r="E42" s="590"/>
      <c r="F42" s="605">
        <f t="shared" si="8"/>
        <v>4.0949999999999997E-3</v>
      </c>
      <c r="G42" s="580"/>
      <c r="H42" s="604">
        <f t="shared" si="9"/>
        <v>0</v>
      </c>
      <c r="I42" s="604">
        <f t="shared" si="10"/>
        <v>0</v>
      </c>
      <c r="J42" s="604"/>
      <c r="K42" s="604">
        <f t="shared" si="6"/>
        <v>0</v>
      </c>
    </row>
    <row r="43" spans="1:11" ht="15.75">
      <c r="A43" s="580" t="s">
        <v>189</v>
      </c>
      <c r="B43" s="580" t="str">
        <f>+B42</f>
        <v>Year 2020</v>
      </c>
      <c r="C43" s="580"/>
      <c r="D43" s="590">
        <f t="shared" si="7"/>
        <v>0</v>
      </c>
      <c r="E43" s="590"/>
      <c r="F43" s="605">
        <f t="shared" si="8"/>
        <v>4.0949999999999997E-3</v>
      </c>
      <c r="G43" s="580"/>
      <c r="H43" s="604">
        <f t="shared" si="9"/>
        <v>0</v>
      </c>
      <c r="I43" s="604">
        <f>I42</f>
        <v>0</v>
      </c>
      <c r="J43" s="604"/>
      <c r="K43" s="604">
        <f t="shared" si="6"/>
        <v>0</v>
      </c>
    </row>
    <row r="44" spans="1:11" ht="15.75">
      <c r="A44" s="580" t="s">
        <v>383</v>
      </c>
      <c r="B44" s="580" t="str">
        <f>B43</f>
        <v>Year 2020</v>
      </c>
      <c r="C44" s="2"/>
      <c r="D44" s="590">
        <f t="shared" si="7"/>
        <v>0</v>
      </c>
      <c r="E44" s="590"/>
      <c r="F44" s="605">
        <f t="shared" si="8"/>
        <v>4.0949999999999997E-3</v>
      </c>
      <c r="G44" s="580"/>
      <c r="H44" s="604">
        <f t="shared" si="9"/>
        <v>0</v>
      </c>
      <c r="I44" s="604">
        <f t="shared" si="10"/>
        <v>0</v>
      </c>
      <c r="J44" s="604"/>
      <c r="K44" s="604">
        <f t="shared" si="6"/>
        <v>0</v>
      </c>
    </row>
    <row r="45" spans="1:11" ht="15.75">
      <c r="A45" s="580" t="s">
        <v>190</v>
      </c>
      <c r="B45" s="580" t="str">
        <f t="shared" ref="B45:B50" si="11">+B44</f>
        <v>Year 2020</v>
      </c>
      <c r="C45" s="580"/>
      <c r="D45" s="590">
        <f t="shared" si="7"/>
        <v>0</v>
      </c>
      <c r="E45" s="590"/>
      <c r="F45" s="605">
        <f t="shared" si="8"/>
        <v>4.0949999999999997E-3</v>
      </c>
      <c r="G45" s="580"/>
      <c r="H45" s="604">
        <f t="shared" si="9"/>
        <v>0</v>
      </c>
      <c r="I45" s="604">
        <f t="shared" si="10"/>
        <v>0</v>
      </c>
      <c r="J45" s="604"/>
      <c r="K45" s="604">
        <f t="shared" si="6"/>
        <v>0</v>
      </c>
    </row>
    <row r="46" spans="1:11" ht="15.75">
      <c r="A46" s="580" t="s">
        <v>191</v>
      </c>
      <c r="B46" s="580" t="str">
        <f t="shared" si="11"/>
        <v>Year 2020</v>
      </c>
      <c r="C46" s="580"/>
      <c r="D46" s="590">
        <f t="shared" si="7"/>
        <v>0</v>
      </c>
      <c r="E46" s="590"/>
      <c r="F46" s="605">
        <f t="shared" si="8"/>
        <v>4.0949999999999997E-3</v>
      </c>
      <c r="G46" s="580"/>
      <c r="H46" s="604">
        <f t="shared" si="9"/>
        <v>0</v>
      </c>
      <c r="I46" s="604">
        <f t="shared" si="10"/>
        <v>0</v>
      </c>
      <c r="J46" s="604"/>
      <c r="K46" s="604">
        <f t="shared" si="6"/>
        <v>0</v>
      </c>
    </row>
    <row r="47" spans="1:11" ht="15.75">
      <c r="A47" s="580" t="s">
        <v>193</v>
      </c>
      <c r="B47" s="580" t="str">
        <f t="shared" si="11"/>
        <v>Year 2020</v>
      </c>
      <c r="C47" s="580"/>
      <c r="D47" s="590">
        <f t="shared" si="7"/>
        <v>0</v>
      </c>
      <c r="E47" s="590"/>
      <c r="F47" s="605">
        <f t="shared" si="8"/>
        <v>4.0949999999999997E-3</v>
      </c>
      <c r="G47" s="580"/>
      <c r="H47" s="604">
        <f t="shared" si="9"/>
        <v>0</v>
      </c>
      <c r="I47" s="604">
        <f>I46</f>
        <v>0</v>
      </c>
      <c r="J47" s="604"/>
      <c r="K47" s="604">
        <f t="shared" si="6"/>
        <v>0</v>
      </c>
    </row>
    <row r="48" spans="1:11" ht="15.75">
      <c r="A48" s="580" t="s">
        <v>562</v>
      </c>
      <c r="B48" s="580" t="str">
        <f t="shared" si="11"/>
        <v>Year 2020</v>
      </c>
      <c r="C48" s="580"/>
      <c r="D48" s="590">
        <f t="shared" si="7"/>
        <v>0</v>
      </c>
      <c r="E48" s="590"/>
      <c r="F48" s="605">
        <f t="shared" si="8"/>
        <v>4.0949999999999997E-3</v>
      </c>
      <c r="G48" s="580"/>
      <c r="H48" s="604">
        <f t="shared" si="9"/>
        <v>0</v>
      </c>
      <c r="I48" s="604">
        <f t="shared" si="10"/>
        <v>0</v>
      </c>
      <c r="J48" s="604"/>
      <c r="K48" s="604">
        <f t="shared" si="6"/>
        <v>0</v>
      </c>
    </row>
    <row r="49" spans="1:11" ht="15.75">
      <c r="A49" s="580" t="s">
        <v>563</v>
      </c>
      <c r="B49" s="580" t="str">
        <f t="shared" si="11"/>
        <v>Year 2020</v>
      </c>
      <c r="C49" s="580"/>
      <c r="D49" s="590">
        <f t="shared" si="7"/>
        <v>0</v>
      </c>
      <c r="E49" s="590"/>
      <c r="F49" s="605">
        <f t="shared" si="8"/>
        <v>4.0949999999999997E-3</v>
      </c>
      <c r="G49" s="580"/>
      <c r="H49" s="604">
        <f t="shared" si="9"/>
        <v>0</v>
      </c>
      <c r="I49" s="604">
        <f t="shared" si="10"/>
        <v>0</v>
      </c>
      <c r="J49" s="604"/>
      <c r="K49" s="604">
        <f t="shared" si="6"/>
        <v>0</v>
      </c>
    </row>
    <row r="50" spans="1:11" ht="15.75">
      <c r="A50" s="580" t="s">
        <v>192</v>
      </c>
      <c r="B50" s="580" t="str">
        <f t="shared" si="11"/>
        <v>Year 2020</v>
      </c>
      <c r="C50" s="580"/>
      <c r="D50" s="590">
        <f t="shared" si="7"/>
        <v>0</v>
      </c>
      <c r="E50" s="590"/>
      <c r="F50" s="605">
        <f t="shared" si="8"/>
        <v>4.0949999999999997E-3</v>
      </c>
      <c r="G50" s="580"/>
      <c r="H50" s="606">
        <f t="shared" si="9"/>
        <v>0</v>
      </c>
      <c r="I50" s="604">
        <f t="shared" si="10"/>
        <v>0</v>
      </c>
      <c r="J50" s="604"/>
      <c r="K50" s="604">
        <f t="shared" si="6"/>
        <v>0</v>
      </c>
    </row>
    <row r="51" spans="1:11" ht="15.75">
      <c r="A51" s="580"/>
      <c r="B51" s="580"/>
      <c r="C51" s="580"/>
      <c r="D51" s="590"/>
      <c r="E51" s="590"/>
      <c r="F51" s="605"/>
      <c r="G51" s="580"/>
      <c r="H51" s="604">
        <f>SUM(H39:H50)</f>
        <v>0</v>
      </c>
      <c r="I51" s="604"/>
      <c r="J51" s="604"/>
      <c r="K51" s="604"/>
    </row>
    <row r="52" spans="1:11" ht="15">
      <c r="A52" s="2"/>
      <c r="B52" s="2"/>
      <c r="C52" s="2"/>
      <c r="D52" s="2"/>
      <c r="E52" s="2"/>
      <c r="F52" s="2"/>
      <c r="G52" s="2"/>
      <c r="H52" s="2"/>
      <c r="I52" s="611"/>
      <c r="J52" s="2"/>
      <c r="K52" s="2"/>
    </row>
    <row r="53" spans="1:11" ht="15.75">
      <c r="A53" s="580" t="s">
        <v>571</v>
      </c>
      <c r="B53" s="2"/>
      <c r="C53" s="2"/>
      <c r="D53" s="2"/>
      <c r="E53" s="2"/>
      <c r="F53" s="2"/>
      <c r="G53" s="2"/>
      <c r="H53" s="2"/>
      <c r="I53" s="612">
        <f>(SUM(I39:I50)*-1)</f>
        <v>0</v>
      </c>
      <c r="J53" s="2"/>
      <c r="K53" s="2"/>
    </row>
    <row r="54" spans="1:11" ht="15.75">
      <c r="A54" s="580" t="s">
        <v>567</v>
      </c>
      <c r="B54" s="2"/>
      <c r="C54" s="2"/>
      <c r="D54" s="2"/>
      <c r="E54" s="2"/>
      <c r="F54" s="2"/>
      <c r="G54" s="2"/>
      <c r="H54" s="2"/>
      <c r="I54" s="613">
        <f>+H10</f>
        <v>0</v>
      </c>
      <c r="J54" s="2"/>
      <c r="K54" s="2"/>
    </row>
    <row r="55" spans="1:11" ht="15.75">
      <c r="A55" s="580" t="s">
        <v>568</v>
      </c>
      <c r="B55" s="2"/>
      <c r="C55" s="2"/>
      <c r="D55" s="2"/>
      <c r="E55" s="2"/>
      <c r="F55" s="2"/>
      <c r="G55" s="2"/>
      <c r="H55" s="2"/>
      <c r="I55" s="612">
        <f>(I53+I54)</f>
        <v>0</v>
      </c>
      <c r="J55" s="2"/>
      <c r="K55" s="2"/>
    </row>
    <row r="57" spans="1:11" ht="59.45" customHeight="1">
      <c r="A57" s="1327" t="s">
        <v>572</v>
      </c>
      <c r="B57" s="1327"/>
      <c r="C57" s="1327"/>
      <c r="D57" s="1327"/>
      <c r="E57" s="140"/>
      <c r="F57" s="140"/>
      <c r="G57" s="140"/>
      <c r="H57" s="140"/>
      <c r="I57" s="140"/>
      <c r="J57" s="140"/>
      <c r="K57" s="140"/>
    </row>
  </sheetData>
  <mergeCells count="5">
    <mergeCell ref="A1:K1"/>
    <mergeCell ref="A2:K2"/>
    <mergeCell ref="A3:K3"/>
    <mergeCell ref="D4:G4"/>
    <mergeCell ref="A57:D57"/>
  </mergeCells>
  <pageMargins left="0.7" right="0.7" top="0.75" bottom="0.75" header="0.3" footer="0.3"/>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Q223"/>
  <sheetViews>
    <sheetView tabSelected="1" topLeftCell="A6" zoomScale="75" zoomScaleNormal="100" zoomScaleSheetLayoutView="100" workbookViewId="0">
      <selection activeCell="D9" sqref="D9"/>
    </sheetView>
  </sheetViews>
  <sheetFormatPr defaultColWidth="9.140625" defaultRowHeight="12.75"/>
  <cols>
    <col min="1" max="1" width="9.140625" style="17"/>
    <col min="2" max="2" width="0.85546875" style="26" customWidth="1"/>
    <col min="3" max="3" width="41.5703125" style="17" customWidth="1"/>
    <col min="4" max="4" width="34.42578125" style="17" bestFit="1" customWidth="1"/>
    <col min="5" max="5" width="23.140625" style="17" customWidth="1"/>
    <col min="6" max="6" width="3.140625" style="17" customWidth="1"/>
    <col min="7" max="7" width="24.5703125" style="17" customWidth="1"/>
    <col min="8" max="8" width="2.85546875" style="17" customWidth="1"/>
    <col min="9" max="9" width="20.85546875" style="17" customWidth="1"/>
    <col min="10" max="10" width="4.5703125" style="17" customWidth="1"/>
    <col min="11" max="11" width="18" style="17" bestFit="1" customWidth="1"/>
    <col min="12" max="12" width="20.42578125" style="17" customWidth="1"/>
    <col min="13" max="15" width="9.140625" style="17"/>
    <col min="16" max="16" width="10" style="17" bestFit="1" customWidth="1"/>
    <col min="17" max="17" width="17.5703125" style="17" customWidth="1"/>
    <col min="18" max="18" width="15.5703125" style="17" bestFit="1" customWidth="1"/>
    <col min="19" max="16384" width="9.140625" style="17"/>
  </cols>
  <sheetData>
    <row r="1" spans="1:15" ht="15.75">
      <c r="A1" s="669" t="s">
        <v>115</v>
      </c>
    </row>
    <row r="2" spans="1:15" ht="15.75">
      <c r="A2" s="669" t="s">
        <v>115</v>
      </c>
    </row>
    <row r="3" spans="1:15" ht="15">
      <c r="A3" s="1230" t="s">
        <v>388</v>
      </c>
      <c r="B3" s="1230"/>
      <c r="C3" s="1230"/>
      <c r="D3" s="1230"/>
      <c r="E3" s="1230"/>
      <c r="F3" s="1230"/>
      <c r="G3" s="1230"/>
      <c r="H3" s="1230"/>
      <c r="I3" s="1230"/>
      <c r="J3" s="30"/>
      <c r="K3" s="30"/>
    </row>
    <row r="4" spans="1:15" ht="15">
      <c r="A4" s="1231" t="str">
        <f>"Cost of Service Formula Rate Using Actual/Projected FF1 Balances"</f>
        <v>Cost of Service Formula Rate Using Actual/Projected FF1 Balances</v>
      </c>
      <c r="B4" s="1231"/>
      <c r="C4" s="1231"/>
      <c r="D4" s="1231"/>
      <c r="E4" s="1231"/>
      <c r="F4" s="1231"/>
      <c r="G4" s="1231"/>
      <c r="H4" s="1231"/>
      <c r="I4" s="1231"/>
      <c r="J4" s="78"/>
      <c r="K4" s="78"/>
    </row>
    <row r="5" spans="1:15" ht="15">
      <c r="A5" s="1231" t="s">
        <v>472</v>
      </c>
      <c r="B5" s="1231"/>
      <c r="C5" s="1231"/>
      <c r="D5" s="1231"/>
      <c r="E5" s="1231"/>
      <c r="F5" s="1231"/>
      <c r="G5" s="1231"/>
      <c r="H5" s="1231"/>
      <c r="I5" s="1231"/>
      <c r="J5" s="77"/>
      <c r="K5" s="77"/>
    </row>
    <row r="6" spans="1:15" ht="15">
      <c r="A6" s="1239" t="str">
        <f>TCOS!F9</f>
        <v xml:space="preserve">Indiana Michigan Power Company </v>
      </c>
      <c r="B6" s="1239"/>
      <c r="C6" s="1239"/>
      <c r="D6" s="1239"/>
      <c r="E6" s="1239"/>
      <c r="F6" s="1239"/>
      <c r="G6" s="1239"/>
      <c r="H6" s="1239"/>
      <c r="I6" s="1239"/>
      <c r="J6" s="3"/>
      <c r="K6" s="3"/>
      <c r="L6"/>
      <c r="M6"/>
    </row>
    <row r="7" spans="1:15">
      <c r="C7" s="24"/>
      <c r="D7" s="24"/>
    </row>
    <row r="8" spans="1:15">
      <c r="C8" s="5" t="s">
        <v>163</v>
      </c>
      <c r="D8" s="5" t="s">
        <v>164</v>
      </c>
      <c r="E8" s="5" t="s">
        <v>165</v>
      </c>
      <c r="G8" s="5" t="s">
        <v>166</v>
      </c>
      <c r="I8" s="5" t="s">
        <v>85</v>
      </c>
      <c r="J8" s="5"/>
      <c r="K8" s="5"/>
      <c r="L8" s="5"/>
      <c r="M8"/>
      <c r="N8"/>
      <c r="O8"/>
    </row>
    <row r="9" spans="1:15">
      <c r="A9" s="76"/>
      <c r="I9" s="10"/>
      <c r="J9"/>
      <c r="K9"/>
      <c r="L9"/>
      <c r="M9"/>
      <c r="N9"/>
      <c r="O9"/>
    </row>
    <row r="10" spans="1:15" ht="12.75" customHeight="1">
      <c r="A10" s="9" t="s">
        <v>170</v>
      </c>
      <c r="C10" s="25"/>
      <c r="D10" s="25"/>
      <c r="E10" s="1237" t="str">
        <f>"Balance @ December 31, "&amp;TCOS!L4&amp;""</f>
        <v>Balance @ December 31, 2025</v>
      </c>
      <c r="F10" s="111"/>
      <c r="G10" s="1237" t="str">
        <f>"Balance @ December 31, "&amp;TCOS!L4-1&amp;""</f>
        <v>Balance @ December 31, 2024</v>
      </c>
      <c r="H10" s="111"/>
      <c r="I10" s="1240" t="str">
        <f>"Average Balance for "&amp;TCOS!L4&amp;""</f>
        <v>Average Balance for 2025</v>
      </c>
      <c r="J10"/>
      <c r="K10"/>
      <c r="L10"/>
      <c r="M10"/>
      <c r="N10"/>
      <c r="O10"/>
    </row>
    <row r="11" spans="1:15">
      <c r="A11" s="9" t="s">
        <v>107</v>
      </c>
      <c r="B11" s="8"/>
      <c r="C11" s="9" t="s">
        <v>168</v>
      </c>
      <c r="D11" s="9" t="s">
        <v>207</v>
      </c>
      <c r="E11" s="1238"/>
      <c r="F11" s="71"/>
      <c r="G11" s="1238"/>
      <c r="H11" s="190"/>
      <c r="I11" s="1238"/>
      <c r="J11"/>
      <c r="K11"/>
      <c r="L11"/>
      <c r="M11"/>
      <c r="N11"/>
      <c r="O11"/>
    </row>
    <row r="12" spans="1:15">
      <c r="A12" s="76"/>
      <c r="C12" s="24"/>
      <c r="D12" s="24"/>
      <c r="G12" s="201"/>
    </row>
    <row r="13" spans="1:15">
      <c r="A13" s="76"/>
      <c r="C13" s="24"/>
      <c r="D13" s="24"/>
    </row>
    <row r="14" spans="1:15">
      <c r="A14" s="76"/>
      <c r="C14" s="24"/>
      <c r="D14" s="24"/>
    </row>
    <row r="15" spans="1:15" ht="15.75">
      <c r="A15" s="76">
        <v>1</v>
      </c>
      <c r="C15" s="44" t="s">
        <v>510</v>
      </c>
      <c r="D15" s="44"/>
    </row>
    <row r="16" spans="1:15" ht="15.75">
      <c r="A16" s="76"/>
      <c r="C16" s="44"/>
      <c r="D16" s="44"/>
      <c r="H16"/>
    </row>
    <row r="17" spans="1:17">
      <c r="A17" s="76">
        <f>+A15+1</f>
        <v>2</v>
      </c>
      <c r="C17" s="52" t="s">
        <v>516</v>
      </c>
      <c r="D17" s="70" t="s">
        <v>518</v>
      </c>
      <c r="E17" s="624">
        <f>SUM('WS B-1 - Actual Stmt. AF'!S23:W23)</f>
        <v>8900731.3999999985</v>
      </c>
      <c r="G17" s="666">
        <f>SUM('WS B-1 - Actual Stmt. AF'!M23:Q23)</f>
        <v>13897935.57</v>
      </c>
      <c r="H17"/>
      <c r="I17" s="108">
        <f>IF(G17="",0,(E17+G17)/2)</f>
        <v>11399333.484999999</v>
      </c>
    </row>
    <row r="18" spans="1:17">
      <c r="A18" s="76">
        <f>+A17+1</f>
        <v>3</v>
      </c>
      <c r="C18" s="52" t="s">
        <v>520</v>
      </c>
      <c r="D18" s="76" t="str">
        <f>"WS B-1 - Actual Stmt. AF Ln. " &amp;'WS B-1 - Actual Stmt. AF'!A24&amp;" (Note 1)"</f>
        <v>WS B-1 - Actual Stmt. AF Ln. 4 (Note 1)</v>
      </c>
      <c r="E18" s="624">
        <f>SUM('WS B-1 - Actual Stmt. AF'!S24:W24)</f>
        <v>0</v>
      </c>
      <c r="G18" s="666">
        <f>SUM('WS B-1 - Actual Stmt. AF'!M24:Q24)</f>
        <v>0</v>
      </c>
      <c r="H18"/>
      <c r="I18" s="108">
        <f>IF(G18="",0,(E18+G18)/2)</f>
        <v>0</v>
      </c>
    </row>
    <row r="19" spans="1:17" ht="15">
      <c r="A19" s="76">
        <f>+A18+1</f>
        <v>4</v>
      </c>
      <c r="C19" s="52" t="s">
        <v>521</v>
      </c>
      <c r="D19" s="76" t="str">
        <f>"WS B-1 - Actual Stmt. AF Ln. " &amp;'WS B-1 - Actual Stmt. AF'!A23&amp;" (Note 1)"</f>
        <v>WS B-1 - Actual Stmt. AF Ln. 3 (Note 1)</v>
      </c>
      <c r="E19" s="625">
        <f>SUM('WS B-1 - Actual Stmt. AF'!S23:W23)-SUM('WS B-1 - Actual Stmt. AF'!S24:W24)</f>
        <v>8900731.3999999985</v>
      </c>
      <c r="G19" s="667">
        <f>SUM('WS B-1 - Actual Stmt. AF'!M23:Q23)-SUM('WS B-1 - Actual Stmt. AF'!M24:Q24)</f>
        <v>13897935.57</v>
      </c>
      <c r="I19" s="177">
        <f>IF(G19="",0,(E19+G19)/2)</f>
        <v>11399333.484999999</v>
      </c>
    </row>
    <row r="20" spans="1:17">
      <c r="A20" s="76">
        <f>+A19+1</f>
        <v>5</v>
      </c>
      <c r="C20" s="52" t="s">
        <v>517</v>
      </c>
      <c r="D20" s="112" t="str">
        <f>"Ln "&amp;A17&amp;" - ln "&amp;A18&amp;" - ln "&amp;A19&amp;""</f>
        <v>Ln 2 - ln 3 - ln 4</v>
      </c>
      <c r="E20" s="18">
        <f>+E17-E18-E19</f>
        <v>0</v>
      </c>
      <c r="G20" s="18">
        <f>+G17-G18-G19</f>
        <v>0</v>
      </c>
      <c r="I20" s="108">
        <f>+I17-I18-I19</f>
        <v>0</v>
      </c>
    </row>
    <row r="21" spans="1:17">
      <c r="A21" s="76"/>
      <c r="C21" s="52"/>
      <c r="D21" s="112"/>
    </row>
    <row r="22" spans="1:17">
      <c r="A22" s="76"/>
      <c r="C22" s="52"/>
      <c r="D22" s="112"/>
      <c r="K22" s="18"/>
      <c r="L22" s="18"/>
      <c r="M22" s="18"/>
      <c r="N22" s="18"/>
      <c r="O22" s="18"/>
    </row>
    <row r="23" spans="1:17" ht="15.75">
      <c r="A23" s="76">
        <f>+A20+1</f>
        <v>6</v>
      </c>
      <c r="C23" s="44" t="s">
        <v>511</v>
      </c>
      <c r="D23" s="112"/>
      <c r="K23" s="18"/>
      <c r="L23" s="18"/>
      <c r="M23" s="18"/>
      <c r="N23" s="18"/>
      <c r="O23" s="18"/>
    </row>
    <row r="24" spans="1:17">
      <c r="A24" s="76"/>
      <c r="C24" s="52"/>
      <c r="D24" s="112"/>
      <c r="E24" s="115"/>
      <c r="K24" s="18"/>
      <c r="L24" s="18"/>
      <c r="M24" s="18"/>
      <c r="N24" s="18"/>
      <c r="O24" s="18"/>
    </row>
    <row r="25" spans="1:17">
      <c r="A25" s="76">
        <f>+A23+1</f>
        <v>7</v>
      </c>
      <c r="C25" s="52" t="s">
        <v>516</v>
      </c>
      <c r="D25" s="70" t="s">
        <v>450</v>
      </c>
      <c r="E25" s="666">
        <f>SUM('WS B-1 - Actual Stmt. AF'!S68:W68)-'WS B-1 - Actual Stmt. AF'!D59</f>
        <v>1130211481.1700001</v>
      </c>
      <c r="G25" s="666">
        <f>SUM('WS B-1 - Actual Stmt. AF'!M68:Q68)-'WS B-1 - Actual Stmt. AF'!C59</f>
        <v>1087573928.96</v>
      </c>
      <c r="H25"/>
      <c r="I25" s="108">
        <f>IF(G25="",0,(E25+G25)/2)</f>
        <v>1108892705.0650001</v>
      </c>
      <c r="K25" s="18"/>
      <c r="L25" s="18"/>
      <c r="M25" s="18"/>
      <c r="N25" s="18"/>
      <c r="O25" s="18"/>
    </row>
    <row r="26" spans="1:17">
      <c r="A26" s="76">
        <f>+A25+1</f>
        <v>8</v>
      </c>
      <c r="C26" s="52" t="s">
        <v>520</v>
      </c>
      <c r="D26" s="76" t="str">
        <f>"WS B-1 - Actual Stmt. AF Ln. " &amp;'WS B-1 - Actual Stmt. AF'!A69&amp;" (Note 1)"</f>
        <v>WS B-1 - Actual Stmt. AF Ln. 7 (Note 1)</v>
      </c>
      <c r="E26" s="666">
        <f>SUM('WS B-1 - Actual Stmt. AF'!S69:W69)</f>
        <v>25179941.300000001</v>
      </c>
      <c r="G26" s="666">
        <f>SUM('WS B-1 - Actual Stmt. AF'!M69:Q69)</f>
        <v>26035645.309999999</v>
      </c>
      <c r="H26"/>
      <c r="I26" s="108">
        <f>IF(G26="",0,(E26+G26)/2)</f>
        <v>25607793.305</v>
      </c>
      <c r="K26" s="18"/>
      <c r="L26" s="18"/>
      <c r="M26" s="18"/>
      <c r="N26" s="18"/>
      <c r="O26" s="18"/>
    </row>
    <row r="27" spans="1:17" ht="15">
      <c r="A27" s="76">
        <f>+A26+1</f>
        <v>9</v>
      </c>
      <c r="C27" s="52" t="s">
        <v>521</v>
      </c>
      <c r="D27" s="76" t="str">
        <f>"WS B-1 - Actual Stmt. AF Ln. " &amp;'WS B-1 - Actual Stmt. AF'!A68&amp;" (Note 1)"</f>
        <v>WS B-1 - Actual Stmt. AF Ln. 6 (Note 1)</v>
      </c>
      <c r="E27" s="667">
        <f>'WS B-1 - Actual Stmt. AF'!S68+'WS B-1 - Actual Stmt. AF'!T68+'WS B-1 - Actual Stmt. AF'!V68+'WS B-1 - Actual Stmt. AF'!W68-'WS B-1 - Actual Stmt. AF'!S69-'WS B-1 - Actual Stmt. AF'!T69-'WS B-1 - Actual Stmt. AF'!V69-'WS B-1 - Actual Stmt. AF'!W69-'WS B-1 - Actual Stmt. AF'!D59</f>
        <v>842347018.63000011</v>
      </c>
      <c r="G27" s="667">
        <f>'WS B-1 - Actual Stmt. AF'!M68+'WS B-1 - Actual Stmt. AF'!N68+'WS B-1 - Actual Stmt. AF'!P68+'WS B-1 - Actual Stmt. AF'!Q68-'WS B-1 - Actual Stmt. AF'!M69-'WS B-1 - Actual Stmt. AF'!N69-'WS B-1 - Actual Stmt. AF'!P69-'WS B-1 - Actual Stmt. AF'!Q69-'WS B-1 - Actual Stmt. AF'!C59</f>
        <v>822832907.19512248</v>
      </c>
      <c r="I27" s="177">
        <f>IF(G27="",0,(E27+G27)/2)</f>
        <v>832589962.9125613</v>
      </c>
      <c r="K27" s="18"/>
      <c r="L27" s="18"/>
      <c r="M27" s="18"/>
      <c r="N27" s="18"/>
      <c r="O27" s="18"/>
    </row>
    <row r="28" spans="1:17">
      <c r="A28" s="76">
        <f>+A27+1</f>
        <v>10</v>
      </c>
      <c r="C28" s="52" t="s">
        <v>517</v>
      </c>
      <c r="D28" s="112" t="str">
        <f>"Ln "&amp;A25&amp;" - ln "&amp;A26&amp;" - ln "&amp;A27&amp;""</f>
        <v>Ln 7 - ln 8 - ln 9</v>
      </c>
      <c r="E28" s="18">
        <f>+E25-E26-E27</f>
        <v>262684521.24000001</v>
      </c>
      <c r="G28" s="18">
        <f>+G25-G26-G27</f>
        <v>238705376.45487761</v>
      </c>
      <c r="I28" s="108">
        <f>+I25-I26-I27</f>
        <v>250694948.84743869</v>
      </c>
      <c r="K28" s="18"/>
      <c r="L28" s="18"/>
      <c r="M28" s="18"/>
      <c r="N28" s="18"/>
      <c r="O28" s="18"/>
    </row>
    <row r="29" spans="1:17">
      <c r="A29" s="76"/>
      <c r="C29" s="52"/>
      <c r="D29" s="112"/>
      <c r="K29" s="18"/>
      <c r="L29" s="18"/>
      <c r="M29" s="18"/>
      <c r="N29" s="18"/>
      <c r="O29" s="18"/>
      <c r="P29" s="18"/>
      <c r="Q29" s="18"/>
    </row>
    <row r="30" spans="1:17">
      <c r="A30" s="76"/>
      <c r="C30" s="52"/>
      <c r="D30" s="112"/>
      <c r="E30" s="18"/>
      <c r="G30" s="18"/>
      <c r="K30" s="18"/>
      <c r="L30" s="18"/>
      <c r="M30" s="18"/>
      <c r="N30" s="18"/>
      <c r="O30" s="18"/>
      <c r="P30" s="18"/>
      <c r="Q30" s="18"/>
    </row>
    <row r="31" spans="1:17" ht="15.75">
      <c r="A31" s="76">
        <f>+A28+1</f>
        <v>11</v>
      </c>
      <c r="C31" s="44" t="s">
        <v>512</v>
      </c>
      <c r="D31" s="112"/>
      <c r="K31" s="18"/>
      <c r="L31" s="18"/>
      <c r="M31" s="18"/>
      <c r="N31" s="18"/>
      <c r="O31" s="18"/>
      <c r="P31" s="18"/>
      <c r="Q31" s="18"/>
    </row>
    <row r="32" spans="1:17" ht="15.75">
      <c r="A32" s="76"/>
      <c r="C32" s="44"/>
      <c r="D32" s="112"/>
      <c r="K32" s="18"/>
      <c r="L32" s="18"/>
      <c r="M32" s="18"/>
      <c r="N32" s="18"/>
      <c r="O32" s="18"/>
      <c r="P32" s="18"/>
      <c r="Q32" s="18"/>
    </row>
    <row r="33" spans="1:17">
      <c r="A33" s="76">
        <f>+A31+1</f>
        <v>12</v>
      </c>
      <c r="C33" s="52" t="s">
        <v>516</v>
      </c>
      <c r="D33" s="70" t="s">
        <v>519</v>
      </c>
      <c r="E33" s="666">
        <f>SUM('WS B-1 - Actual Stmt. AF'!S167:W167)-'WS B-1 - Actual Stmt. AF'!D156</f>
        <v>1018051063.5100002</v>
      </c>
      <c r="G33" s="666">
        <f>SUM('WS B-1 - Actual Stmt. AF'!M167:Q167)-'WS B-1 - Actual Stmt. AF'!C156</f>
        <v>899052200.97000003</v>
      </c>
      <c r="H33"/>
      <c r="I33" s="108">
        <f>IF(G33="",0,(E33+G33)/2)</f>
        <v>958551632.24000013</v>
      </c>
      <c r="K33" s="18"/>
      <c r="L33" s="18"/>
      <c r="M33" s="18"/>
      <c r="N33" s="18"/>
      <c r="O33" s="18"/>
      <c r="P33" s="18"/>
      <c r="Q33" s="18"/>
    </row>
    <row r="34" spans="1:17">
      <c r="A34" s="76">
        <f>+A33+1</f>
        <v>13</v>
      </c>
      <c r="C34" s="52" t="s">
        <v>520</v>
      </c>
      <c r="D34" s="76" t="str">
        <f>"WS B-1 - Actual Stmt. AF Ln. " &amp;'WS B-1 - Actual Stmt. AF'!A174&amp;" (Note 1)"</f>
        <v>WS B-1 - Actual Stmt. AF Ln. 15 (Note 1)</v>
      </c>
      <c r="E34" s="666">
        <f>SUM('WS B-1 - Actual Stmt. AF'!S174:W174)</f>
        <v>968918260.38</v>
      </c>
      <c r="G34" s="666">
        <f>SUM('WS B-1 - Actual Stmt. AF'!M174:Q174)</f>
        <v>855850339.07999992</v>
      </c>
      <c r="H34"/>
      <c r="I34" s="108">
        <f>IF(G34="",0,(E34+G34)/2)</f>
        <v>912384299.73000002</v>
      </c>
      <c r="K34" s="799"/>
      <c r="L34" s="799"/>
      <c r="M34" s="799"/>
      <c r="N34" s="799"/>
      <c r="O34" s="799"/>
    </row>
    <row r="35" spans="1:17" ht="15">
      <c r="A35" s="76">
        <f>+A34+1</f>
        <v>14</v>
      </c>
      <c r="C35" s="52" t="s">
        <v>521</v>
      </c>
      <c r="D35" s="76" t="str">
        <f>"WS B-1 - Actual Stmt. AF Ln. " &amp;'WS B-1 - Actual Stmt. AF'!A173&amp;" (Note 1)"</f>
        <v>WS B-1 - Actual Stmt. AF Ln. 14 (Note 1)</v>
      </c>
      <c r="E35" s="667">
        <f>'WS B-1 - Actual Stmt. AF'!S167+'WS B-1 - Actual Stmt. AF'!T167+'WS B-1 - Actual Stmt. AF'!V167+'WS B-1 - Actual Stmt. AF'!W167-'WS B-1 - Actual Stmt. AF'!S174-'WS B-1 - Actual Stmt. AF'!T174-'WS B-1 - Actual Stmt. AF'!V174-'WS B-1 - Actual Stmt. AF'!W174-'WS B-1 - Actual Stmt. AF'!D156</f>
        <v>50551997.020000219</v>
      </c>
      <c r="G35" s="667">
        <f>'WS B-1 - Actual Stmt. AF'!M167+'WS B-1 - Actual Stmt. AF'!N167+'WS B-1 - Actual Stmt. AF'!P167+'WS B-1 - Actual Stmt. AF'!Q167-'WS B-1 - Actual Stmt. AF'!M174-'WS B-1 - Actual Stmt. AF'!N174-'WS B-1 - Actual Stmt. AF'!P174-'WS B-1 - Actual Stmt. AF'!Q174-'WS B-1 - Actual Stmt. AF'!C156</f>
        <v>46435184.700000048</v>
      </c>
      <c r="I35" s="177">
        <f>IF(G35="",0,(E35+G35)/2)</f>
        <v>48493590.860000134</v>
      </c>
    </row>
    <row r="36" spans="1:17">
      <c r="A36" s="76">
        <f>+A35+1</f>
        <v>15</v>
      </c>
      <c r="C36" s="52" t="s">
        <v>517</v>
      </c>
      <c r="D36" s="112" t="str">
        <f>"Ln "&amp;A33&amp;" - ln "&amp;A34&amp;" - ln "&amp;A35&amp;""</f>
        <v>Ln 12 - ln 13 - ln 14</v>
      </c>
      <c r="E36" s="18">
        <f>+E33-E34-E35</f>
        <v>-1419193.8899999857</v>
      </c>
      <c r="G36" s="18">
        <f>+G33-G34-G35</f>
        <v>-3233322.8099999428</v>
      </c>
      <c r="I36" s="108">
        <f>+I33-I34-I35</f>
        <v>-2326258.3500000238</v>
      </c>
    </row>
    <row r="37" spans="1:17" ht="15.75">
      <c r="A37" s="76"/>
      <c r="C37" s="44"/>
      <c r="D37" s="112"/>
      <c r="K37" s="18"/>
      <c r="L37" s="18"/>
      <c r="M37" s="18"/>
      <c r="N37" s="18"/>
      <c r="O37" s="18"/>
      <c r="P37" s="18"/>
    </row>
    <row r="38" spans="1:17">
      <c r="A38" s="76"/>
      <c r="C38" s="52"/>
      <c r="D38" s="112"/>
      <c r="K38" s="18"/>
      <c r="L38" s="18"/>
      <c r="M38" s="18"/>
      <c r="N38" s="18"/>
      <c r="O38" s="18"/>
      <c r="P38" s="18"/>
    </row>
    <row r="39" spans="1:17" ht="15.75">
      <c r="A39" s="76">
        <f>+A36+1</f>
        <v>16</v>
      </c>
      <c r="C39" s="44" t="s">
        <v>513</v>
      </c>
      <c r="D39" s="112"/>
      <c r="K39" s="18"/>
      <c r="L39" s="18"/>
      <c r="M39" s="18"/>
      <c r="N39" s="18"/>
      <c r="O39" s="18"/>
      <c r="P39" s="18"/>
    </row>
    <row r="40" spans="1:17">
      <c r="A40" s="76"/>
      <c r="C40" s="52"/>
      <c r="D40" s="112"/>
      <c r="E40" s="115"/>
      <c r="K40" s="18"/>
      <c r="L40" s="18"/>
      <c r="M40" s="18"/>
      <c r="N40" s="18"/>
      <c r="O40" s="18"/>
      <c r="P40" s="18"/>
    </row>
    <row r="41" spans="1:17">
      <c r="A41" s="76">
        <f>+A39+1</f>
        <v>17</v>
      </c>
      <c r="C41" s="52" t="s">
        <v>516</v>
      </c>
      <c r="D41" s="70" t="s">
        <v>515</v>
      </c>
      <c r="E41" s="666">
        <f>SUM('WS B-2 - Actual Stmt. AG'!U109:Y109)-'WS B-2 - Actual Stmt. AG'!D93</f>
        <v>1077885171.05</v>
      </c>
      <c r="G41" s="1135">
        <f>SUM('WS B-2 - Actual Stmt. AG'!O109:S109)-'WS B-2 - Actual Stmt. AG'!C93</f>
        <v>927955262.52999997</v>
      </c>
      <c r="H41"/>
      <c r="I41" s="108">
        <f>IF(G41="",0,(E41+G41)/2)</f>
        <v>1002920216.79</v>
      </c>
      <c r="K41" s="18"/>
      <c r="L41" s="18"/>
      <c r="M41" s="18"/>
      <c r="N41" s="18"/>
      <c r="O41" s="18"/>
    </row>
    <row r="42" spans="1:17">
      <c r="A42" s="76">
        <f>+A41+1</f>
        <v>18</v>
      </c>
      <c r="C42" s="52" t="s">
        <v>520</v>
      </c>
      <c r="D42" s="76" t="str">
        <f>"WS B-2 - Actual Stmt. AG Ln. " &amp;'WS B-2 - Actual Stmt. AG'!A110&amp;" (Note 1)"</f>
        <v>WS B-2 - Actual Stmt. AG Ln. 6 (Note 1)</v>
      </c>
      <c r="E42" s="666">
        <f>SUM('WS B-2 - Actual Stmt. AG'!U110:Y110)</f>
        <v>995321852.13999999</v>
      </c>
      <c r="G42" s="666">
        <f>SUM('WS B-2 - Actual Stmt. AG'!O110:S110)</f>
        <v>888508495.37999988</v>
      </c>
      <c r="H42"/>
      <c r="I42" s="108">
        <f>IF(G42="",0,(E42+G42)/2)</f>
        <v>941915173.75999999</v>
      </c>
      <c r="K42" s="18"/>
      <c r="L42" s="18"/>
      <c r="M42" s="18"/>
      <c r="N42" s="18"/>
      <c r="O42" s="18"/>
    </row>
    <row r="43" spans="1:17" ht="15">
      <c r="A43" s="76">
        <f>+A42+1</f>
        <v>19</v>
      </c>
      <c r="C43" s="52" t="s">
        <v>521</v>
      </c>
      <c r="D43" s="76" t="str">
        <f>"WS B-2 - Actual Stmt. AG Ln. " &amp;'WS B-2 - Actual Stmt. AG'!A109&amp;" (Note 1)"</f>
        <v>WS B-2 - Actual Stmt. AG Ln. 5 (Note 1)</v>
      </c>
      <c r="E43" s="667">
        <f>('WS B-2 - Actual Stmt. AG'!U109+'WS B-2 - Actual Stmt. AG'!V109+'WS B-2 - Actual Stmt. AG'!X109+'WS B-2 - Actual Stmt. AG'!S109)-('WS B-2 - Actual Stmt. AG'!U110+'WS B-2 - Actual Stmt. AG'!V110+'WS B-2 - Actual Stmt. AG'!X110+'WS B-2 - Actual Stmt. AG'!S110)-'WS B-2 - Actual Stmt. AG'!D93</f>
        <v>60316294.110000014</v>
      </c>
      <c r="G43" s="1136">
        <f>('WS B-2 - Actual Stmt. AG'!O109+'WS B-2 - Actual Stmt. AG'!P109+'WS B-2 - Actual Stmt. AG'!R109+'WS B-2 - Actual Stmt. AG'!S109)-('WS B-2 - Actual Stmt. AG'!O110+'WS B-2 - Actual Stmt. AG'!P110+'WS B-2 - Actual Stmt. AG'!R110+'WS B-2 - Actual Stmt. AG'!S110)-'WS B-2 - Actual Stmt. AG'!C93</f>
        <v>36224935.910000086</v>
      </c>
      <c r="I43" s="177">
        <f>IF(G43="",0,(E43+G43)/2)</f>
        <v>48270615.01000005</v>
      </c>
      <c r="K43" s="18"/>
      <c r="L43" s="18"/>
      <c r="M43" s="18"/>
      <c r="N43" s="18"/>
      <c r="O43" s="18"/>
    </row>
    <row r="44" spans="1:17">
      <c r="A44" s="76">
        <f>+A43+1</f>
        <v>20</v>
      </c>
      <c r="C44" s="52" t="s">
        <v>517</v>
      </c>
      <c r="D44" s="112" t="str">
        <f>"Ln "&amp;A41&amp;" - ln "&amp;A42&amp;" - ln "&amp;A43&amp;""</f>
        <v>Ln 17 - ln 18 - ln 19</v>
      </c>
      <c r="E44" s="18">
        <f>+E41-E42-E43</f>
        <v>22247024.799999952</v>
      </c>
      <c r="G44" s="18">
        <f>+G41-G42-G43</f>
        <v>3221831.2400000095</v>
      </c>
      <c r="I44" s="108">
        <f>+I41-I42-I43</f>
        <v>12734428.019999921</v>
      </c>
    </row>
    <row r="45" spans="1:17">
      <c r="A45" s="76"/>
      <c r="C45" s="52"/>
      <c r="D45" s="112"/>
    </row>
    <row r="46" spans="1:17">
      <c r="A46" s="76"/>
      <c r="C46" s="52"/>
      <c r="D46" s="112"/>
    </row>
    <row r="47" spans="1:17" ht="15.75">
      <c r="A47" s="76">
        <f>+A44+1</f>
        <v>21</v>
      </c>
      <c r="C47" s="44" t="s">
        <v>514</v>
      </c>
      <c r="D47" s="112"/>
    </row>
    <row r="48" spans="1:17">
      <c r="A48" s="76"/>
      <c r="C48" s="52"/>
      <c r="D48" s="112"/>
      <c r="K48" s="18"/>
      <c r="L48" s="18"/>
      <c r="M48" s="18"/>
      <c r="N48" s="18"/>
      <c r="O48" s="18"/>
    </row>
    <row r="49" spans="1:15">
      <c r="A49" s="76">
        <f>+A47+1</f>
        <v>22</v>
      </c>
      <c r="C49" s="52" t="s">
        <v>522</v>
      </c>
      <c r="D49" s="70" t="s">
        <v>471</v>
      </c>
      <c r="E49" s="624">
        <f>SUM('WS B-1 - Actual Stmt. AF'!S189:V190)</f>
        <v>12642140.66</v>
      </c>
      <c r="G49" s="624">
        <f>SUM('WS B-1 - Actual Stmt. AF'!M189:P189)</f>
        <v>13837484.699999999</v>
      </c>
      <c r="H49"/>
      <c r="I49" s="108">
        <f>IF(G49="",0,(E49+G49)/2)</f>
        <v>13239812.68</v>
      </c>
      <c r="K49" s="18"/>
      <c r="L49" s="18"/>
      <c r="M49" s="18"/>
      <c r="N49" s="18"/>
      <c r="O49" s="18"/>
    </row>
    <row r="50" spans="1:15" ht="15">
      <c r="A50" s="76">
        <f>+A49+1</f>
        <v>23</v>
      </c>
      <c r="C50" s="52" t="s">
        <v>523</v>
      </c>
      <c r="D50" s="76" t="s">
        <v>68</v>
      </c>
      <c r="E50" s="667">
        <f>SUM('WS B-1 - Actual Stmt. AF'!S185:V187)</f>
        <v>12196246.66</v>
      </c>
      <c r="G50" s="1136">
        <f>SUM('WS B-1 - Actual Stmt. AF'!M185:Q187)</f>
        <v>12990921.66</v>
      </c>
      <c r="H50"/>
      <c r="I50" s="177">
        <f>IF(G50="",0,(E50+G50)/2)</f>
        <v>12593584.16</v>
      </c>
      <c r="K50" s="18"/>
      <c r="L50" s="18"/>
      <c r="M50" s="18"/>
      <c r="N50" s="18"/>
      <c r="O50" s="18"/>
    </row>
    <row r="51" spans="1:15">
      <c r="A51" s="76">
        <f>+A50+1</f>
        <v>24</v>
      </c>
      <c r="C51" s="52" t="s">
        <v>389</v>
      </c>
      <c r="D51" s="112" t="str">
        <f>"Ln "&amp;A49&amp;" - ln "&amp;A50&amp;""</f>
        <v>Ln 22 - ln 23</v>
      </c>
      <c r="E51" s="18">
        <f>+E49-E50</f>
        <v>445894</v>
      </c>
      <c r="G51" s="18">
        <f>+G49-G50</f>
        <v>846563.03999999911</v>
      </c>
      <c r="H51"/>
      <c r="I51" s="108">
        <f>+I49-I50</f>
        <v>646228.51999999955</v>
      </c>
      <c r="K51" s="18"/>
      <c r="L51" s="18"/>
      <c r="M51" s="18"/>
      <c r="N51" s="18"/>
      <c r="O51" s="18"/>
    </row>
    <row r="52" spans="1:15">
      <c r="A52" s="76">
        <f>+A51+1</f>
        <v>25</v>
      </c>
      <c r="C52" s="52" t="s">
        <v>517</v>
      </c>
      <c r="D52" s="76" t="str">
        <f>"WS B-1 - Actual Stmt. AF Ln. " &amp;'WS B-1 - Actual Stmt. AF'!A189&amp;" (Note 1)"</f>
        <v>WS B-1 - Actual Stmt. AF Ln. 20 (Note 1)</v>
      </c>
      <c r="E52" s="624">
        <f>'WS B-1 - Actual Stmt. AF'!U189</f>
        <v>378944</v>
      </c>
      <c r="G52" s="624">
        <f>'WS B-1 - Actual Stmt. AF'!O189</f>
        <v>641843</v>
      </c>
      <c r="H52"/>
      <c r="I52" s="108">
        <f>IF(G52="",0,(E52+G52)/2)</f>
        <v>510393.5</v>
      </c>
      <c r="K52" s="18"/>
      <c r="L52" s="18"/>
      <c r="M52" s="18"/>
      <c r="N52" s="18"/>
      <c r="O52" s="18"/>
    </row>
    <row r="53" spans="1:15">
      <c r="A53" s="76"/>
      <c r="C53" s="52"/>
      <c r="D53" s="52"/>
      <c r="K53" s="18"/>
      <c r="L53" s="18"/>
      <c r="M53" s="18"/>
      <c r="N53" s="18"/>
      <c r="O53" s="18"/>
    </row>
    <row r="54" spans="1:15">
      <c r="A54" s="58" t="s">
        <v>69</v>
      </c>
      <c r="C54" s="1236" t="s">
        <v>810</v>
      </c>
      <c r="D54" s="1236"/>
      <c r="E54" s="1236"/>
      <c r="F54" s="1236"/>
      <c r="G54" s="1236"/>
      <c r="H54" s="1236"/>
      <c r="I54" s="1236"/>
    </row>
    <row r="55" spans="1:15">
      <c r="A55" s="58"/>
      <c r="C55" s="1236"/>
      <c r="D55" s="1236"/>
      <c r="E55" s="1236"/>
      <c r="F55" s="1236"/>
      <c r="G55" s="1236"/>
      <c r="H55" s="1236"/>
      <c r="I55" s="1236"/>
    </row>
    <row r="56" spans="1:15">
      <c r="A56" s="76"/>
      <c r="C56" s="52"/>
      <c r="D56" s="52"/>
    </row>
    <row r="57" spans="1:15">
      <c r="A57" s="76" t="s">
        <v>70</v>
      </c>
      <c r="B57" s="26" t="s">
        <v>71</v>
      </c>
      <c r="C57" s="52"/>
      <c r="D57" s="52"/>
    </row>
    <row r="58" spans="1:15">
      <c r="B58" s="4"/>
      <c r="C58" s="4"/>
      <c r="D58" s="4"/>
      <c r="E58" s="4"/>
      <c r="F58" s="4"/>
      <c r="G58" s="4"/>
      <c r="H58" s="4"/>
      <c r="I58" s="4"/>
      <c r="J58" s="4"/>
      <c r="K58" s="4"/>
    </row>
    <row r="59" spans="1:15">
      <c r="B59" s="4"/>
      <c r="C59" s="4"/>
      <c r="D59" s="4"/>
      <c r="E59" s="4"/>
      <c r="F59" s="4"/>
      <c r="G59" s="4"/>
      <c r="H59" s="4"/>
      <c r="I59" s="4"/>
      <c r="J59" s="4"/>
      <c r="K59" s="4"/>
    </row>
    <row r="60" spans="1:15">
      <c r="B60" s="4"/>
      <c r="C60" s="4"/>
      <c r="D60" s="4"/>
      <c r="E60" s="4"/>
      <c r="F60" s="4"/>
      <c r="G60" s="4"/>
      <c r="H60" s="4"/>
      <c r="I60" s="4"/>
      <c r="J60" s="4"/>
      <c r="K60" s="4"/>
    </row>
    <row r="61" spans="1:15">
      <c r="B61" s="4"/>
      <c r="C61" s="4"/>
      <c r="D61" s="4"/>
      <c r="E61" s="4"/>
      <c r="F61" s="4"/>
      <c r="G61" s="4"/>
      <c r="H61" s="4"/>
      <c r="I61" s="4"/>
      <c r="J61" s="4"/>
      <c r="K61" s="4"/>
    </row>
    <row r="62" spans="1:15">
      <c r="B62" s="4"/>
      <c r="C62" s="4"/>
      <c r="D62" s="4"/>
      <c r="E62" s="4"/>
      <c r="F62" s="4"/>
      <c r="G62" s="4"/>
      <c r="H62" s="4"/>
      <c r="I62" s="4"/>
      <c r="J62" s="4"/>
      <c r="K62" s="4"/>
    </row>
    <row r="63" spans="1:15">
      <c r="B63" s="4"/>
      <c r="C63" s="4"/>
      <c r="D63" s="4"/>
      <c r="E63" s="4"/>
      <c r="F63" s="4"/>
      <c r="G63" s="4"/>
      <c r="H63" s="4"/>
      <c r="I63" s="4"/>
      <c r="J63" s="4"/>
      <c r="K63" s="4"/>
      <c r="L63" s="4"/>
    </row>
    <row r="64" spans="1:15">
      <c r="B64" s="4"/>
      <c r="C64" s="4"/>
      <c r="D64" s="4"/>
      <c r="E64" s="4"/>
      <c r="F64" s="4"/>
      <c r="G64" s="4"/>
      <c r="H64" s="4"/>
      <c r="I64" s="4"/>
      <c r="J64" s="4"/>
      <c r="K64" s="4"/>
      <c r="L64" s="4"/>
    </row>
    <row r="65" spans="2:12">
      <c r="B65" s="4"/>
      <c r="C65" s="4"/>
      <c r="D65" s="4"/>
      <c r="E65" s="4"/>
      <c r="F65" s="4"/>
      <c r="G65" s="4"/>
      <c r="H65" s="4"/>
      <c r="I65" s="4"/>
      <c r="J65" s="4"/>
      <c r="K65" s="4"/>
      <c r="L65" s="4"/>
    </row>
    <row r="66" spans="2:12">
      <c r="B66" s="4"/>
      <c r="C66" s="4"/>
      <c r="D66" s="4"/>
      <c r="E66" s="4"/>
      <c r="F66" s="4"/>
      <c r="G66" s="4"/>
      <c r="H66" s="4"/>
      <c r="I66" s="4"/>
      <c r="J66" s="4"/>
      <c r="K66" s="4"/>
      <c r="L66" s="4"/>
    </row>
    <row r="67" spans="2:12">
      <c r="B67" s="4"/>
      <c r="C67" s="4"/>
      <c r="D67" s="4"/>
      <c r="E67" s="4"/>
      <c r="F67" s="4"/>
      <c r="G67" s="4"/>
      <c r="H67" s="4"/>
      <c r="I67" s="4"/>
      <c r="J67" s="4"/>
      <c r="K67" s="4"/>
      <c r="L67" s="4"/>
    </row>
    <row r="68" spans="2:12">
      <c r="B68" s="4"/>
      <c r="C68" s="4"/>
      <c r="D68" s="4"/>
      <c r="E68" s="4"/>
      <c r="F68" s="4"/>
      <c r="G68" s="4"/>
      <c r="H68" s="4"/>
      <c r="I68" s="4"/>
      <c r="J68" s="4"/>
      <c r="K68" s="4"/>
      <c r="L68" s="4"/>
    </row>
    <row r="69" spans="2:12">
      <c r="B69" s="4"/>
      <c r="C69" s="4"/>
      <c r="D69" s="4"/>
      <c r="E69" s="4"/>
      <c r="F69" s="4"/>
      <c r="G69" s="4"/>
      <c r="H69" s="4"/>
      <c r="I69" s="4"/>
      <c r="J69" s="4"/>
      <c r="K69" s="4"/>
      <c r="L69" s="4"/>
    </row>
    <row r="70" spans="2:12">
      <c r="B70" s="4"/>
      <c r="C70" s="4"/>
      <c r="D70" s="4"/>
      <c r="E70" s="4"/>
      <c r="F70" s="4"/>
      <c r="G70" s="4"/>
      <c r="H70" s="4"/>
      <c r="I70" s="4"/>
      <c r="J70" s="4"/>
      <c r="K70" s="4"/>
      <c r="L70" s="4"/>
    </row>
    <row r="71" spans="2:12">
      <c r="B71" s="4"/>
      <c r="C71" s="4"/>
      <c r="D71" s="4"/>
      <c r="E71" s="4"/>
      <c r="F71" s="4"/>
      <c r="G71" s="4"/>
      <c r="H71" s="4"/>
      <c r="I71" s="4"/>
      <c r="J71" s="4"/>
      <c r="K71" s="4"/>
      <c r="L71" s="4"/>
    </row>
    <row r="72" spans="2:12">
      <c r="B72" s="4"/>
      <c r="C72" s="4"/>
      <c r="D72" s="4"/>
      <c r="E72" s="4"/>
      <c r="F72" s="4"/>
      <c r="G72" s="4"/>
      <c r="H72" s="4"/>
      <c r="I72" s="4"/>
      <c r="J72" s="4"/>
      <c r="K72" s="4"/>
      <c r="L72" s="4"/>
    </row>
    <row r="73" spans="2:12">
      <c r="B73" s="4"/>
      <c r="C73" s="4"/>
      <c r="D73" s="4"/>
      <c r="E73" s="4"/>
      <c r="F73" s="4"/>
      <c r="G73" s="4"/>
      <c r="H73" s="4"/>
      <c r="I73" s="4"/>
      <c r="J73" s="4"/>
      <c r="K73" s="4"/>
      <c r="L73" s="4"/>
    </row>
    <row r="74" spans="2:12">
      <c r="B74" s="4"/>
      <c r="C74" s="4"/>
      <c r="D74" s="4"/>
      <c r="E74" s="4"/>
      <c r="F74" s="4"/>
      <c r="G74" s="4"/>
      <c r="H74" s="4"/>
      <c r="I74" s="4"/>
      <c r="J74" s="4"/>
      <c r="K74" s="4"/>
      <c r="L74" s="4"/>
    </row>
    <row r="75" spans="2:12">
      <c r="B75" s="4"/>
      <c r="C75" s="4"/>
      <c r="D75" s="4"/>
      <c r="E75" s="4"/>
      <c r="F75" s="4"/>
      <c r="G75" s="4"/>
      <c r="H75" s="4"/>
      <c r="I75" s="4"/>
      <c r="J75" s="4"/>
      <c r="K75" s="4"/>
      <c r="L75" s="4"/>
    </row>
    <row r="76" spans="2:12">
      <c r="B76" s="4"/>
      <c r="C76" s="4"/>
      <c r="D76" s="4"/>
      <c r="E76" s="4"/>
      <c r="F76" s="4"/>
      <c r="G76" s="4"/>
      <c r="H76" s="4"/>
      <c r="I76" s="4"/>
      <c r="J76" s="4"/>
      <c r="K76" s="4"/>
      <c r="L76" s="4"/>
    </row>
    <row r="77" spans="2:12">
      <c r="B77" s="4"/>
      <c r="C77" s="4"/>
      <c r="D77" s="4"/>
      <c r="E77" s="4"/>
      <c r="F77" s="4"/>
      <c r="G77" s="4"/>
      <c r="H77" s="4"/>
      <c r="I77" s="4"/>
      <c r="J77" s="4"/>
      <c r="K77" s="4"/>
      <c r="L77" s="4"/>
    </row>
    <row r="78" spans="2:12">
      <c r="B78" s="4"/>
      <c r="C78" s="4"/>
      <c r="D78" s="4"/>
      <c r="E78" s="4"/>
      <c r="F78" s="4"/>
      <c r="G78" s="4"/>
      <c r="H78" s="4"/>
      <c r="I78" s="4"/>
      <c r="J78" s="4"/>
      <c r="K78" s="4"/>
      <c r="L78" s="4"/>
    </row>
    <row r="79" spans="2:12">
      <c r="B79" s="4"/>
      <c r="C79" s="4"/>
      <c r="D79" s="4"/>
      <c r="E79" s="4"/>
      <c r="F79" s="4"/>
      <c r="G79" s="4"/>
      <c r="H79" s="4"/>
      <c r="I79" s="4"/>
      <c r="J79" s="4"/>
      <c r="K79" s="4"/>
      <c r="L79" s="4"/>
    </row>
    <row r="80" spans="2:12">
      <c r="B80" s="4"/>
      <c r="C80" s="4"/>
      <c r="D80" s="4"/>
      <c r="E80" s="4"/>
      <c r="F80" s="4"/>
      <c r="G80" s="4"/>
      <c r="H80" s="4"/>
      <c r="I80" s="4"/>
      <c r="J80" s="4"/>
      <c r="K80" s="4"/>
      <c r="L80" s="4"/>
    </row>
    <row r="81" spans="2:12">
      <c r="B81" s="4"/>
      <c r="C81" s="4"/>
      <c r="D81" s="4"/>
      <c r="E81" s="4"/>
      <c r="F81" s="4"/>
      <c r="G81" s="4"/>
      <c r="H81" s="4"/>
      <c r="I81" s="4"/>
      <c r="J81" s="4"/>
      <c r="K81" s="4"/>
      <c r="L81" s="4"/>
    </row>
    <row r="82" spans="2:12">
      <c r="B82" s="4"/>
      <c r="C82" s="4"/>
      <c r="D82" s="4"/>
      <c r="E82" s="4"/>
      <c r="F82" s="4"/>
      <c r="G82" s="4"/>
      <c r="H82" s="4"/>
      <c r="I82" s="4"/>
      <c r="J82" s="4"/>
      <c r="K82" s="4"/>
      <c r="L82" s="4"/>
    </row>
    <row r="83" spans="2:12">
      <c r="B83" s="4"/>
      <c r="C83" s="4"/>
      <c r="D83" s="4"/>
      <c r="E83" s="4"/>
      <c r="F83" s="4"/>
      <c r="G83" s="4"/>
      <c r="H83" s="4"/>
      <c r="I83" s="4"/>
      <c r="J83" s="4"/>
      <c r="K83" s="4"/>
      <c r="L83" s="4"/>
    </row>
    <row r="84" spans="2:12">
      <c r="B84" s="4"/>
      <c r="C84" s="4"/>
      <c r="D84" s="4"/>
      <c r="E84" s="4"/>
      <c r="F84" s="4"/>
      <c r="G84" s="4"/>
      <c r="H84" s="4"/>
      <c r="I84" s="4"/>
      <c r="J84" s="4"/>
      <c r="K84" s="4"/>
      <c r="L84" s="4"/>
    </row>
    <row r="85" spans="2:12">
      <c r="B85" s="4"/>
      <c r="C85" s="4"/>
      <c r="D85" s="4"/>
      <c r="E85" s="4"/>
      <c r="F85" s="4"/>
      <c r="G85" s="4"/>
      <c r="H85" s="4"/>
      <c r="I85" s="4"/>
      <c r="J85" s="4"/>
      <c r="K85" s="4"/>
      <c r="L85" s="4"/>
    </row>
    <row r="86" spans="2:12">
      <c r="B86" s="4"/>
      <c r="C86" s="4"/>
      <c r="D86" s="4"/>
      <c r="E86" s="4"/>
      <c r="F86" s="4"/>
      <c r="G86" s="4"/>
      <c r="H86" s="4"/>
      <c r="I86" s="4"/>
      <c r="J86" s="4"/>
      <c r="K86" s="4"/>
      <c r="L86" s="4"/>
    </row>
    <row r="87" spans="2:12">
      <c r="B87" s="4"/>
      <c r="C87" s="4"/>
      <c r="D87" s="4"/>
      <c r="E87" s="4"/>
      <c r="F87" s="4"/>
      <c r="G87" s="4"/>
      <c r="H87" s="4"/>
      <c r="I87" s="4"/>
      <c r="J87" s="4"/>
      <c r="K87" s="4"/>
      <c r="L87" s="4"/>
    </row>
    <row r="88" spans="2:12">
      <c r="B88" s="4"/>
      <c r="C88" s="4"/>
      <c r="D88" s="4"/>
      <c r="E88" s="4"/>
      <c r="F88" s="4"/>
      <c r="G88" s="4"/>
      <c r="H88" s="4"/>
      <c r="I88" s="4"/>
      <c r="J88" s="4"/>
      <c r="K88" s="4"/>
      <c r="L88" s="4"/>
    </row>
    <row r="89" spans="2:12">
      <c r="B89" s="4"/>
      <c r="C89" s="4"/>
      <c r="D89" s="4"/>
      <c r="E89" s="4"/>
      <c r="F89" s="4"/>
      <c r="G89" s="4"/>
      <c r="H89" s="4"/>
      <c r="I89" s="4"/>
      <c r="J89" s="4"/>
      <c r="K89" s="4"/>
      <c r="L89" s="4"/>
    </row>
    <row r="90" spans="2:12">
      <c r="B90" s="4"/>
      <c r="C90" s="4"/>
      <c r="D90" s="4"/>
      <c r="E90" s="4"/>
      <c r="F90" s="4"/>
      <c r="G90" s="4"/>
      <c r="H90" s="4"/>
      <c r="I90" s="4"/>
      <c r="J90" s="4"/>
      <c r="K90" s="4"/>
      <c r="L90" s="4"/>
    </row>
    <row r="91" spans="2:12">
      <c r="B91" s="4"/>
      <c r="C91" s="4"/>
      <c r="D91" s="4"/>
      <c r="E91" s="4"/>
      <c r="F91" s="4"/>
      <c r="G91" s="4"/>
      <c r="H91" s="4"/>
      <c r="I91" s="4"/>
      <c r="J91" s="4"/>
      <c r="K91" s="4"/>
      <c r="L91" s="4"/>
    </row>
    <row r="92" spans="2:12">
      <c r="B92" s="4"/>
      <c r="C92" s="4"/>
      <c r="D92" s="4"/>
      <c r="E92" s="4"/>
      <c r="F92" s="4"/>
      <c r="G92" s="4"/>
      <c r="H92" s="4"/>
      <c r="I92" s="4"/>
      <c r="J92" s="4"/>
      <c r="K92" s="4"/>
      <c r="L92" s="4"/>
    </row>
    <row r="93" spans="2:12">
      <c r="B93" s="4"/>
      <c r="C93" s="4"/>
      <c r="D93" s="4"/>
      <c r="E93" s="4"/>
      <c r="F93" s="4"/>
      <c r="G93" s="4"/>
      <c r="H93" s="4"/>
      <c r="I93" s="4"/>
      <c r="J93" s="4"/>
      <c r="K93" s="4"/>
      <c r="L93" s="4"/>
    </row>
    <row r="94" spans="2:12">
      <c r="B94" s="4"/>
      <c r="C94" s="4"/>
      <c r="D94" s="4"/>
      <c r="E94" s="4"/>
      <c r="F94" s="4"/>
      <c r="G94" s="4"/>
      <c r="H94" s="4"/>
      <c r="I94" s="4"/>
      <c r="J94" s="4"/>
      <c r="K94" s="4"/>
      <c r="L94" s="4"/>
    </row>
    <row r="95" spans="2:12">
      <c r="B95" s="4"/>
      <c r="C95" s="4"/>
      <c r="D95" s="4"/>
      <c r="E95" s="4"/>
      <c r="F95" s="4"/>
      <c r="G95" s="4"/>
      <c r="H95" s="4"/>
      <c r="I95" s="4"/>
      <c r="J95" s="4"/>
      <c r="K95" s="4"/>
      <c r="L95" s="4"/>
    </row>
    <row r="96" spans="2:12">
      <c r="B96" s="4"/>
      <c r="C96" s="4"/>
      <c r="D96" s="4"/>
      <c r="E96" s="4"/>
      <c r="F96" s="4"/>
      <c r="G96" s="4"/>
      <c r="H96" s="4"/>
      <c r="I96" s="4"/>
      <c r="J96" s="4"/>
      <c r="K96" s="4"/>
      <c r="L96" s="4"/>
    </row>
    <row r="97" spans="2:12">
      <c r="B97" s="4"/>
      <c r="C97" s="4"/>
      <c r="D97" s="4"/>
      <c r="E97" s="4"/>
      <c r="F97" s="4"/>
      <c r="G97" s="4"/>
      <c r="H97" s="4"/>
      <c r="I97" s="4"/>
      <c r="J97" s="4"/>
      <c r="K97" s="4"/>
      <c r="L97" s="4"/>
    </row>
    <row r="98" spans="2:12">
      <c r="B98" s="4"/>
      <c r="C98" s="4"/>
      <c r="D98" s="4"/>
      <c r="E98" s="4"/>
      <c r="F98" s="4"/>
      <c r="G98" s="4"/>
      <c r="H98" s="4"/>
      <c r="I98" s="4"/>
      <c r="J98" s="4"/>
      <c r="K98" s="4"/>
      <c r="L98" s="4"/>
    </row>
    <row r="99" spans="2:12">
      <c r="B99" s="4"/>
      <c r="C99" s="4"/>
      <c r="D99" s="4"/>
      <c r="E99" s="4"/>
      <c r="F99" s="4"/>
      <c r="G99" s="4"/>
      <c r="H99" s="4"/>
      <c r="I99" s="4"/>
      <c r="J99" s="4"/>
      <c r="K99" s="4"/>
      <c r="L99" s="4"/>
    </row>
    <row r="100" spans="2:12">
      <c r="B100" s="4"/>
      <c r="C100" s="4"/>
      <c r="D100" s="4"/>
      <c r="E100" s="4"/>
      <c r="F100" s="4"/>
      <c r="G100" s="4"/>
      <c r="H100" s="4"/>
      <c r="I100" s="4"/>
      <c r="J100" s="4"/>
      <c r="K100" s="4"/>
      <c r="L100" s="4"/>
    </row>
    <row r="101" spans="2:12">
      <c r="B101" s="4"/>
      <c r="C101" s="4"/>
      <c r="D101" s="4"/>
      <c r="E101" s="4"/>
      <c r="F101" s="4"/>
      <c r="G101" s="4"/>
      <c r="H101" s="4"/>
      <c r="I101" s="4"/>
      <c r="J101" s="4"/>
      <c r="K101" s="4"/>
      <c r="L101" s="4"/>
    </row>
    <row r="102" spans="2:12">
      <c r="B102" s="4"/>
      <c r="C102" s="4"/>
      <c r="D102" s="4"/>
      <c r="E102" s="4"/>
      <c r="F102" s="4"/>
      <c r="G102" s="4"/>
      <c r="H102" s="4"/>
      <c r="I102" s="4"/>
      <c r="J102" s="4"/>
      <c r="K102" s="4"/>
      <c r="L102" s="4"/>
    </row>
    <row r="103" spans="2:12">
      <c r="B103" s="4"/>
      <c r="C103" s="4"/>
      <c r="D103" s="4"/>
      <c r="E103" s="4"/>
      <c r="F103" s="4"/>
      <c r="G103" s="4"/>
      <c r="H103" s="4"/>
      <c r="I103" s="4"/>
      <c r="J103" s="4"/>
      <c r="K103" s="4"/>
      <c r="L103" s="4"/>
    </row>
    <row r="104" spans="2:12">
      <c r="B104" s="4"/>
      <c r="C104" s="4"/>
      <c r="D104" s="4"/>
      <c r="E104" s="4"/>
      <c r="F104" s="4"/>
      <c r="G104" s="4"/>
      <c r="H104" s="4"/>
      <c r="I104" s="4"/>
      <c r="J104" s="4"/>
      <c r="K104" s="4"/>
      <c r="L104" s="4"/>
    </row>
    <row r="105" spans="2:12">
      <c r="B105" s="4"/>
      <c r="C105" s="4"/>
      <c r="D105" s="4"/>
      <c r="E105" s="4"/>
      <c r="F105" s="4"/>
      <c r="G105" s="4"/>
      <c r="H105" s="4"/>
      <c r="I105" s="4"/>
      <c r="J105" s="4"/>
      <c r="K105" s="4"/>
      <c r="L105" s="4"/>
    </row>
    <row r="106" spans="2:12">
      <c r="B106" s="4"/>
      <c r="C106" s="4"/>
      <c r="D106" s="4"/>
      <c r="E106" s="4"/>
      <c r="F106" s="4"/>
      <c r="G106" s="4"/>
      <c r="H106" s="4"/>
      <c r="I106" s="4"/>
      <c r="J106" s="4"/>
      <c r="K106" s="4"/>
      <c r="L106" s="4"/>
    </row>
    <row r="107" spans="2:12">
      <c r="B107" s="4"/>
      <c r="C107" s="4"/>
      <c r="D107" s="4"/>
      <c r="E107" s="4"/>
      <c r="F107" s="4"/>
      <c r="G107" s="4"/>
      <c r="H107" s="4"/>
      <c r="I107" s="4"/>
      <c r="J107" s="4"/>
      <c r="K107" s="4"/>
      <c r="L107" s="4"/>
    </row>
    <row r="108" spans="2:12">
      <c r="B108" s="4"/>
      <c r="C108" s="4"/>
      <c r="D108" s="4"/>
      <c r="E108" s="4"/>
      <c r="F108" s="4"/>
      <c r="G108" s="4"/>
      <c r="H108" s="4"/>
      <c r="I108" s="4"/>
      <c r="J108" s="4"/>
      <c r="K108" s="4"/>
      <c r="L108" s="4"/>
    </row>
    <row r="109" spans="2:12">
      <c r="B109" s="4"/>
      <c r="C109" s="4"/>
      <c r="D109" s="4"/>
      <c r="E109" s="4"/>
      <c r="F109" s="4"/>
      <c r="G109" s="4"/>
      <c r="H109" s="4"/>
      <c r="I109" s="4"/>
      <c r="J109" s="4"/>
      <c r="K109" s="4"/>
      <c r="L109" s="4"/>
    </row>
    <row r="110" spans="2:12">
      <c r="B110" s="4"/>
      <c r="C110" s="4"/>
      <c r="D110" s="4"/>
      <c r="E110" s="4"/>
      <c r="F110" s="4"/>
      <c r="G110" s="4"/>
      <c r="H110" s="4"/>
      <c r="I110" s="4"/>
      <c r="J110" s="4"/>
      <c r="K110" s="4"/>
      <c r="L110" s="4"/>
    </row>
    <row r="111" spans="2:12">
      <c r="B111" s="4"/>
      <c r="C111" s="4"/>
      <c r="D111" s="4"/>
      <c r="E111" s="4"/>
      <c r="F111" s="4"/>
      <c r="G111" s="4"/>
      <c r="H111" s="4"/>
      <c r="I111" s="4"/>
      <c r="J111" s="4"/>
      <c r="K111" s="4"/>
      <c r="L111" s="4"/>
    </row>
    <row r="112" spans="2:12">
      <c r="B112" s="4"/>
      <c r="C112" s="4"/>
      <c r="D112" s="4"/>
      <c r="E112" s="4"/>
      <c r="F112" s="4"/>
      <c r="G112" s="4"/>
      <c r="H112" s="4"/>
      <c r="I112" s="4"/>
      <c r="J112" s="4"/>
      <c r="K112" s="4"/>
      <c r="L112" s="4"/>
    </row>
    <row r="113" spans="2:12">
      <c r="B113" s="4"/>
      <c r="C113" s="4"/>
      <c r="D113" s="4"/>
      <c r="E113" s="4"/>
      <c r="F113" s="4"/>
      <c r="G113" s="4"/>
      <c r="H113" s="4"/>
      <c r="I113" s="4"/>
      <c r="J113" s="4"/>
      <c r="K113" s="4"/>
      <c r="L113" s="4"/>
    </row>
    <row r="114" spans="2:12">
      <c r="B114" s="4"/>
      <c r="C114" s="4"/>
      <c r="D114" s="4"/>
      <c r="E114" s="4"/>
      <c r="F114" s="4"/>
      <c r="G114" s="4"/>
      <c r="H114" s="4"/>
      <c r="I114" s="4"/>
      <c r="J114" s="4"/>
      <c r="K114" s="4"/>
      <c r="L114" s="4"/>
    </row>
    <row r="115" spans="2:12">
      <c r="B115" s="4"/>
      <c r="C115" s="4"/>
      <c r="D115" s="4"/>
      <c r="E115" s="4"/>
      <c r="F115" s="4"/>
      <c r="G115" s="4"/>
      <c r="H115" s="4"/>
      <c r="I115" s="4"/>
      <c r="J115" s="4"/>
      <c r="K115" s="4"/>
      <c r="L115" s="4"/>
    </row>
    <row r="116" spans="2:12">
      <c r="B116" s="4"/>
      <c r="C116" s="4"/>
      <c r="D116" s="4"/>
      <c r="E116" s="4"/>
      <c r="F116" s="4"/>
      <c r="G116" s="4"/>
      <c r="H116" s="4"/>
      <c r="I116" s="4"/>
      <c r="J116" s="4"/>
      <c r="K116" s="4"/>
      <c r="L116" s="4"/>
    </row>
    <row r="117" spans="2:12">
      <c r="B117" s="4"/>
      <c r="C117" s="4"/>
      <c r="D117" s="4"/>
      <c r="E117" s="4"/>
      <c r="F117" s="4"/>
      <c r="G117" s="4"/>
      <c r="H117" s="4"/>
      <c r="I117" s="4"/>
      <c r="J117" s="4"/>
      <c r="K117" s="4"/>
      <c r="L117" s="4"/>
    </row>
    <row r="118" spans="2:12">
      <c r="B118" s="4"/>
      <c r="C118" s="4"/>
      <c r="D118" s="4"/>
      <c r="E118" s="4"/>
      <c r="F118" s="4"/>
      <c r="G118" s="4"/>
      <c r="H118" s="4"/>
      <c r="I118" s="4"/>
      <c r="J118" s="4"/>
      <c r="K118" s="4"/>
      <c r="L118" s="4"/>
    </row>
    <row r="119" spans="2:12">
      <c r="B119" s="4"/>
      <c r="C119" s="4"/>
      <c r="D119" s="4"/>
      <c r="E119" s="4"/>
      <c r="F119" s="4"/>
      <c r="G119" s="4"/>
      <c r="H119" s="4"/>
      <c r="I119" s="4"/>
      <c r="J119" s="4"/>
      <c r="K119" s="4"/>
      <c r="L119" s="4"/>
    </row>
    <row r="120" spans="2:12">
      <c r="B120" s="4"/>
      <c r="C120" s="4"/>
      <c r="D120" s="4"/>
      <c r="E120" s="4"/>
      <c r="F120" s="4"/>
      <c r="G120" s="4"/>
      <c r="H120" s="4"/>
      <c r="I120" s="4"/>
      <c r="J120" s="4"/>
      <c r="K120" s="4"/>
      <c r="L120" s="4"/>
    </row>
    <row r="121" spans="2:12">
      <c r="B121" s="4"/>
      <c r="C121" s="4"/>
      <c r="D121" s="4"/>
      <c r="E121" s="4"/>
      <c r="F121" s="4"/>
      <c r="G121" s="4"/>
      <c r="H121" s="4"/>
      <c r="I121" s="4"/>
      <c r="J121" s="4"/>
      <c r="K121" s="4"/>
      <c r="L121" s="4"/>
    </row>
    <row r="122" spans="2:12">
      <c r="B122" s="4"/>
      <c r="C122" s="4"/>
      <c r="D122" s="4"/>
      <c r="E122" s="4"/>
      <c r="F122" s="4"/>
      <c r="G122" s="4"/>
      <c r="H122" s="4"/>
      <c r="I122" s="4"/>
      <c r="J122" s="4"/>
      <c r="K122" s="4"/>
      <c r="L122" s="4"/>
    </row>
    <row r="123" spans="2:12">
      <c r="B123" s="4"/>
      <c r="C123" s="4"/>
      <c r="D123" s="4"/>
      <c r="E123" s="4"/>
      <c r="F123" s="4"/>
      <c r="G123" s="4"/>
      <c r="H123" s="4"/>
      <c r="I123" s="4"/>
      <c r="J123" s="4"/>
      <c r="K123" s="4"/>
      <c r="L123" s="4"/>
    </row>
    <row r="124" spans="2:12">
      <c r="B124" s="4"/>
      <c r="C124" s="4"/>
      <c r="D124" s="4"/>
      <c r="E124" s="4"/>
      <c r="F124" s="4"/>
      <c r="G124" s="4"/>
      <c r="H124" s="4"/>
      <c r="I124" s="4"/>
      <c r="J124" s="4"/>
      <c r="K124" s="4"/>
      <c r="L124" s="4"/>
    </row>
    <row r="125" spans="2:12">
      <c r="B125" s="4"/>
      <c r="C125" s="4"/>
      <c r="D125" s="4"/>
      <c r="E125" s="4"/>
      <c r="F125" s="4"/>
      <c r="G125" s="4"/>
      <c r="H125" s="4"/>
      <c r="I125" s="4"/>
      <c r="J125" s="4"/>
      <c r="K125" s="4"/>
      <c r="L125" s="4"/>
    </row>
    <row r="126" spans="2:12">
      <c r="B126" s="4"/>
      <c r="C126" s="4"/>
      <c r="D126" s="4"/>
      <c r="E126" s="4"/>
      <c r="F126" s="4"/>
      <c r="G126" s="4"/>
      <c r="H126" s="4"/>
      <c r="I126" s="4"/>
      <c r="J126" s="4"/>
      <c r="K126" s="4"/>
      <c r="L126" s="4"/>
    </row>
    <row r="127" spans="2:12">
      <c r="B127" s="4"/>
      <c r="C127" s="4"/>
      <c r="D127" s="4"/>
      <c r="E127" s="4"/>
      <c r="F127" s="4"/>
      <c r="G127" s="4"/>
      <c r="H127" s="4"/>
      <c r="I127" s="4"/>
      <c r="J127" s="4"/>
      <c r="K127" s="4"/>
      <c r="L127" s="4"/>
    </row>
    <row r="128" spans="2:12">
      <c r="B128" s="4"/>
      <c r="C128" s="4"/>
      <c r="D128" s="4"/>
      <c r="E128" s="4"/>
      <c r="F128" s="4"/>
      <c r="G128" s="4"/>
      <c r="H128" s="4"/>
      <c r="I128" s="4"/>
      <c r="J128" s="4"/>
      <c r="K128" s="4"/>
      <c r="L128" s="4"/>
    </row>
    <row r="129" spans="2:12">
      <c r="B129" s="4"/>
      <c r="C129" s="4"/>
      <c r="D129" s="4"/>
      <c r="E129" s="4"/>
      <c r="F129" s="4"/>
      <c r="G129" s="4"/>
      <c r="H129" s="4"/>
      <c r="I129" s="4"/>
      <c r="J129" s="4"/>
      <c r="K129" s="4"/>
      <c r="L129" s="4"/>
    </row>
    <row r="130" spans="2:12">
      <c r="B130" s="4"/>
      <c r="C130" s="4"/>
      <c r="D130" s="4"/>
      <c r="E130" s="4"/>
      <c r="F130" s="4"/>
      <c r="G130" s="4"/>
      <c r="H130" s="4"/>
      <c r="I130" s="4"/>
      <c r="J130" s="4"/>
      <c r="K130" s="4"/>
      <c r="L130" s="4"/>
    </row>
    <row r="131" spans="2:12">
      <c r="B131" s="4"/>
      <c r="C131" s="4"/>
      <c r="D131" s="4"/>
      <c r="E131" s="4"/>
      <c r="F131" s="4"/>
      <c r="G131" s="4"/>
      <c r="H131" s="4"/>
      <c r="I131" s="4"/>
      <c r="J131" s="4"/>
      <c r="K131" s="4"/>
      <c r="L131" s="4"/>
    </row>
    <row r="132" spans="2:12">
      <c r="B132" s="4"/>
      <c r="C132" s="4"/>
      <c r="D132" s="4"/>
      <c r="E132" s="4"/>
      <c r="F132" s="4"/>
      <c r="G132" s="4"/>
      <c r="H132" s="4"/>
      <c r="I132" s="4"/>
      <c r="J132" s="4"/>
      <c r="K132" s="4"/>
      <c r="L132" s="4"/>
    </row>
    <row r="133" spans="2:12">
      <c r="B133" s="4"/>
      <c r="C133" s="4"/>
      <c r="D133" s="4"/>
      <c r="E133" s="4"/>
      <c r="F133" s="4"/>
      <c r="G133" s="4"/>
      <c r="H133" s="4"/>
      <c r="I133" s="4"/>
      <c r="J133" s="4"/>
      <c r="K133" s="4"/>
      <c r="L133" s="4"/>
    </row>
    <row r="134" spans="2:12">
      <c r="B134" s="4"/>
      <c r="C134" s="4"/>
      <c r="D134" s="4"/>
      <c r="E134" s="4"/>
      <c r="F134" s="4"/>
      <c r="G134" s="4"/>
      <c r="H134" s="4"/>
      <c r="I134" s="4"/>
      <c r="J134" s="4"/>
      <c r="K134" s="4"/>
      <c r="L134" s="4"/>
    </row>
    <row r="135" spans="2:12">
      <c r="B135" s="4"/>
      <c r="C135" s="4"/>
      <c r="D135" s="4"/>
      <c r="E135" s="4"/>
      <c r="F135" s="4"/>
      <c r="G135" s="4"/>
      <c r="H135" s="4"/>
      <c r="I135" s="4"/>
      <c r="J135" s="4"/>
      <c r="K135" s="4"/>
      <c r="L135" s="4"/>
    </row>
    <row r="136" spans="2:12">
      <c r="B136" s="4"/>
      <c r="C136" s="4"/>
      <c r="D136" s="4"/>
      <c r="E136" s="4"/>
      <c r="F136" s="4"/>
      <c r="G136" s="4"/>
      <c r="H136" s="4"/>
      <c r="I136" s="4"/>
      <c r="J136" s="4"/>
      <c r="K136" s="4"/>
      <c r="L136" s="4"/>
    </row>
    <row r="137" spans="2:12">
      <c r="B137" s="4"/>
      <c r="C137" s="4"/>
      <c r="D137" s="4"/>
      <c r="E137" s="4"/>
      <c r="F137" s="4"/>
      <c r="G137" s="4"/>
      <c r="H137" s="4"/>
      <c r="I137" s="4"/>
      <c r="J137" s="4"/>
      <c r="K137" s="4"/>
      <c r="L137" s="4"/>
    </row>
    <row r="138" spans="2:12">
      <c r="B138" s="4"/>
      <c r="C138" s="4"/>
      <c r="D138" s="4"/>
      <c r="E138" s="4"/>
      <c r="F138" s="4"/>
      <c r="G138" s="4"/>
      <c r="H138" s="4"/>
      <c r="I138" s="4"/>
      <c r="J138" s="4"/>
      <c r="K138" s="4"/>
      <c r="L138" s="4"/>
    </row>
    <row r="139" spans="2:12">
      <c r="B139" s="4"/>
      <c r="C139" s="4"/>
      <c r="D139" s="4"/>
      <c r="E139" s="4"/>
      <c r="F139" s="4"/>
      <c r="G139" s="4"/>
      <c r="H139" s="4"/>
      <c r="I139" s="4"/>
      <c r="J139" s="4"/>
      <c r="K139" s="4"/>
      <c r="L139" s="4"/>
    </row>
    <row r="140" spans="2:12">
      <c r="B140" s="4"/>
      <c r="C140" s="4"/>
      <c r="D140" s="4"/>
      <c r="E140" s="4"/>
      <c r="F140" s="4"/>
      <c r="G140" s="4"/>
      <c r="H140" s="4"/>
      <c r="I140" s="4"/>
      <c r="J140" s="4"/>
      <c r="K140" s="4"/>
      <c r="L140" s="4"/>
    </row>
    <row r="141" spans="2:12">
      <c r="B141" s="4"/>
      <c r="C141" s="4"/>
      <c r="D141" s="4"/>
      <c r="E141" s="4"/>
      <c r="F141" s="4"/>
      <c r="G141" s="4"/>
      <c r="H141" s="4"/>
      <c r="I141" s="4"/>
      <c r="J141" s="4"/>
      <c r="K141" s="4"/>
      <c r="L141" s="4"/>
    </row>
    <row r="142" spans="2:12">
      <c r="B142" s="4"/>
      <c r="C142" s="4"/>
      <c r="D142" s="4"/>
      <c r="E142" s="4"/>
      <c r="F142" s="4"/>
      <c r="G142" s="4"/>
      <c r="H142" s="4"/>
      <c r="I142" s="4"/>
      <c r="J142" s="4"/>
      <c r="K142" s="4"/>
      <c r="L142" s="4"/>
    </row>
    <row r="143" spans="2:12">
      <c r="B143" s="4"/>
      <c r="C143" s="4"/>
      <c r="D143" s="4"/>
      <c r="E143" s="4"/>
      <c r="F143" s="4"/>
      <c r="G143" s="4"/>
      <c r="H143" s="4"/>
      <c r="I143" s="4"/>
      <c r="J143" s="4"/>
      <c r="K143" s="4"/>
      <c r="L143" s="4"/>
    </row>
    <row r="144" spans="2:12">
      <c r="B144" s="4"/>
      <c r="C144" s="4"/>
      <c r="D144" s="4"/>
      <c r="E144" s="4"/>
      <c r="F144" s="4"/>
      <c r="G144" s="4"/>
      <c r="H144" s="4"/>
      <c r="I144" s="4"/>
      <c r="J144" s="4"/>
      <c r="K144" s="4"/>
      <c r="L144" s="4"/>
    </row>
    <row r="145" spans="2:12">
      <c r="B145" s="4"/>
      <c r="C145" s="4"/>
      <c r="D145" s="4"/>
      <c r="E145" s="4"/>
      <c r="F145" s="4"/>
      <c r="G145" s="4"/>
      <c r="H145" s="4"/>
      <c r="I145" s="4"/>
      <c r="J145" s="4"/>
      <c r="K145" s="4"/>
      <c r="L145" s="4"/>
    </row>
    <row r="146" spans="2:12">
      <c r="B146" s="4"/>
      <c r="C146" s="4"/>
      <c r="D146" s="4"/>
      <c r="E146" s="4"/>
      <c r="F146" s="4"/>
      <c r="G146" s="4"/>
      <c r="H146" s="4"/>
      <c r="I146" s="4"/>
      <c r="J146" s="4"/>
      <c r="K146" s="4"/>
      <c r="L146" s="4"/>
    </row>
    <row r="147" spans="2:12">
      <c r="B147" s="4"/>
      <c r="C147" s="4"/>
      <c r="D147" s="4"/>
      <c r="E147" s="4"/>
      <c r="F147" s="4"/>
      <c r="G147" s="4"/>
      <c r="H147" s="4"/>
      <c r="I147" s="4"/>
      <c r="J147" s="4"/>
      <c r="K147" s="4"/>
      <c r="L147" s="4"/>
    </row>
    <row r="148" spans="2:12">
      <c r="B148" s="4"/>
      <c r="C148" s="4"/>
      <c r="D148" s="4"/>
      <c r="E148" s="4"/>
      <c r="F148" s="4"/>
      <c r="G148" s="4"/>
      <c r="H148" s="4"/>
      <c r="I148" s="4"/>
      <c r="J148" s="4"/>
      <c r="K148" s="4"/>
      <c r="L148" s="4"/>
    </row>
    <row r="149" spans="2:12">
      <c r="B149" s="4"/>
      <c r="C149" s="4"/>
      <c r="D149" s="4"/>
      <c r="E149" s="4"/>
      <c r="F149" s="4"/>
      <c r="G149" s="4"/>
      <c r="H149" s="4"/>
      <c r="I149" s="4"/>
      <c r="J149" s="4"/>
      <c r="K149" s="4"/>
      <c r="L149" s="4"/>
    </row>
    <row r="150" spans="2:12">
      <c r="B150" s="4"/>
      <c r="C150" s="4"/>
      <c r="D150" s="4"/>
      <c r="E150" s="4"/>
      <c r="F150" s="4"/>
      <c r="G150" s="4"/>
      <c r="H150" s="4"/>
      <c r="I150" s="4"/>
      <c r="J150" s="4"/>
      <c r="K150" s="4"/>
      <c r="L150" s="4"/>
    </row>
    <row r="151" spans="2:12">
      <c r="B151" s="4"/>
      <c r="C151" s="4"/>
      <c r="D151" s="4"/>
      <c r="E151" s="4"/>
      <c r="F151" s="4"/>
      <c r="G151" s="4"/>
      <c r="H151" s="4"/>
      <c r="I151" s="4"/>
      <c r="J151" s="4"/>
      <c r="K151" s="4"/>
      <c r="L151" s="4"/>
    </row>
    <row r="152" spans="2:12">
      <c r="B152" s="4"/>
      <c r="C152" s="4"/>
      <c r="D152" s="4"/>
      <c r="E152" s="4"/>
      <c r="F152" s="4"/>
      <c r="G152" s="4"/>
      <c r="H152" s="4"/>
      <c r="I152" s="4"/>
      <c r="J152" s="4"/>
      <c r="K152" s="4"/>
      <c r="L152" s="4"/>
    </row>
    <row r="153" spans="2:12">
      <c r="B153" s="4"/>
      <c r="C153" s="4"/>
      <c r="D153" s="4"/>
      <c r="E153" s="4"/>
      <c r="F153" s="4"/>
      <c r="G153" s="4"/>
      <c r="H153" s="4"/>
      <c r="I153" s="4"/>
      <c r="J153" s="4"/>
      <c r="K153" s="4"/>
      <c r="L153" s="4"/>
    </row>
    <row r="154" spans="2:12">
      <c r="B154" s="4"/>
      <c r="C154" s="4"/>
      <c r="D154" s="4"/>
      <c r="E154" s="4"/>
      <c r="F154" s="4"/>
      <c r="G154" s="4"/>
      <c r="H154" s="4"/>
      <c r="I154" s="4"/>
      <c r="J154" s="4"/>
      <c r="K154" s="4"/>
      <c r="L154" s="4"/>
    </row>
    <row r="155" spans="2:12">
      <c r="B155" s="4"/>
      <c r="C155" s="4"/>
      <c r="D155" s="4"/>
      <c r="E155" s="4"/>
      <c r="F155" s="4"/>
      <c r="G155" s="4"/>
      <c r="H155" s="4"/>
      <c r="I155" s="4"/>
      <c r="J155" s="4"/>
      <c r="K155" s="4"/>
      <c r="L155" s="4"/>
    </row>
    <row r="156" spans="2:12">
      <c r="B156" s="4"/>
      <c r="C156" s="4"/>
      <c r="D156" s="4"/>
      <c r="E156" s="4"/>
      <c r="F156" s="4"/>
      <c r="G156" s="4"/>
      <c r="H156" s="4"/>
      <c r="I156" s="4"/>
      <c r="J156" s="4"/>
      <c r="K156" s="4"/>
      <c r="L156" s="4"/>
    </row>
    <row r="157" spans="2:12">
      <c r="B157" s="4"/>
      <c r="C157" s="4"/>
      <c r="D157" s="4"/>
      <c r="E157" s="4"/>
      <c r="F157" s="4"/>
      <c r="G157" s="4"/>
      <c r="H157" s="4"/>
      <c r="I157" s="4"/>
      <c r="J157" s="4"/>
      <c r="K157" s="4"/>
      <c r="L157" s="4"/>
    </row>
    <row r="158" spans="2:12">
      <c r="B158" s="4"/>
      <c r="C158" s="4"/>
      <c r="D158" s="4"/>
      <c r="E158" s="4"/>
      <c r="F158" s="4"/>
      <c r="G158" s="4"/>
      <c r="H158" s="4"/>
      <c r="I158" s="4"/>
      <c r="J158" s="4"/>
      <c r="K158" s="4"/>
      <c r="L158" s="4"/>
    </row>
    <row r="159" spans="2:12">
      <c r="B159" s="4"/>
      <c r="C159" s="4"/>
      <c r="D159" s="4"/>
      <c r="E159" s="4"/>
      <c r="F159" s="4"/>
      <c r="G159" s="4"/>
      <c r="H159" s="4"/>
      <c r="I159" s="4"/>
      <c r="J159" s="4"/>
      <c r="K159" s="4"/>
      <c r="L159" s="4"/>
    </row>
    <row r="160" spans="2:12">
      <c r="B160" s="4"/>
      <c r="C160" s="4"/>
      <c r="D160" s="4"/>
      <c r="E160" s="4"/>
      <c r="F160" s="4"/>
      <c r="G160" s="4"/>
      <c r="H160" s="4"/>
      <c r="I160" s="4"/>
      <c r="J160" s="4"/>
      <c r="K160" s="4"/>
      <c r="L160" s="4"/>
    </row>
    <row r="161" spans="2:12">
      <c r="B161" s="4"/>
      <c r="C161" s="4"/>
      <c r="D161" s="4"/>
      <c r="E161" s="4"/>
      <c r="F161" s="4"/>
      <c r="G161" s="4"/>
      <c r="H161" s="4"/>
      <c r="I161" s="4"/>
      <c r="J161" s="4"/>
      <c r="K161" s="4"/>
      <c r="L161" s="4"/>
    </row>
    <row r="162" spans="2:12">
      <c r="B162" s="4"/>
      <c r="C162" s="4"/>
      <c r="D162" s="4"/>
      <c r="E162" s="4"/>
      <c r="F162" s="4"/>
      <c r="G162" s="4"/>
      <c r="H162" s="4"/>
      <c r="I162" s="4"/>
      <c r="J162" s="4"/>
      <c r="K162" s="4"/>
      <c r="L162" s="4"/>
    </row>
    <row r="163" spans="2:12">
      <c r="B163" s="4"/>
      <c r="C163" s="4"/>
      <c r="D163" s="4"/>
      <c r="E163" s="4"/>
      <c r="F163" s="4"/>
      <c r="G163" s="4"/>
      <c r="H163" s="4"/>
      <c r="I163" s="4"/>
      <c r="J163" s="4"/>
      <c r="K163" s="4"/>
      <c r="L163" s="4"/>
    </row>
    <row r="164" spans="2:12">
      <c r="B164" s="4"/>
      <c r="C164" s="4"/>
      <c r="D164" s="4"/>
      <c r="E164" s="4"/>
      <c r="F164" s="4"/>
      <c r="G164" s="4"/>
      <c r="H164" s="4"/>
      <c r="I164" s="4"/>
      <c r="J164" s="4"/>
      <c r="K164" s="4"/>
      <c r="L164" s="4"/>
    </row>
    <row r="165" spans="2:12">
      <c r="B165" s="4"/>
      <c r="C165" s="4"/>
      <c r="D165" s="4"/>
      <c r="E165" s="4"/>
      <c r="F165" s="4"/>
      <c r="G165" s="4"/>
      <c r="H165" s="4"/>
      <c r="I165" s="4"/>
      <c r="J165" s="4"/>
      <c r="K165" s="4"/>
      <c r="L165" s="4"/>
    </row>
    <row r="166" spans="2:12">
      <c r="B166" s="4"/>
      <c r="C166" s="4"/>
      <c r="D166" s="4"/>
      <c r="E166" s="4"/>
      <c r="F166" s="4"/>
      <c r="G166" s="4"/>
      <c r="H166" s="4"/>
      <c r="I166" s="4"/>
      <c r="J166" s="4"/>
      <c r="K166" s="4"/>
      <c r="L166" s="4"/>
    </row>
    <row r="167" spans="2:12">
      <c r="B167" s="4"/>
      <c r="C167" s="4"/>
      <c r="D167" s="4"/>
      <c r="E167" s="4"/>
      <c r="F167" s="4"/>
      <c r="G167" s="4"/>
      <c r="H167" s="4"/>
      <c r="I167" s="4"/>
      <c r="J167" s="4"/>
      <c r="K167" s="4"/>
      <c r="L167" s="4"/>
    </row>
    <row r="168" spans="2:12">
      <c r="B168" s="4"/>
      <c r="C168" s="4"/>
      <c r="D168" s="4"/>
      <c r="E168" s="4"/>
      <c r="F168" s="4"/>
      <c r="G168" s="4"/>
      <c r="H168" s="4"/>
      <c r="I168" s="4"/>
      <c r="J168" s="4"/>
      <c r="K168" s="4"/>
      <c r="L168" s="4"/>
    </row>
    <row r="169" spans="2:12">
      <c r="B169" s="4"/>
      <c r="C169" s="4"/>
      <c r="D169" s="4"/>
      <c r="E169" s="4"/>
      <c r="F169" s="4"/>
      <c r="G169" s="4"/>
      <c r="H169" s="4"/>
      <c r="I169" s="4"/>
      <c r="J169" s="4"/>
      <c r="K169" s="4"/>
      <c r="L169" s="4"/>
    </row>
    <row r="170" spans="2:12">
      <c r="B170" s="4"/>
      <c r="C170" s="4"/>
      <c r="D170" s="4"/>
      <c r="E170" s="4"/>
      <c r="F170" s="4"/>
      <c r="G170" s="4"/>
      <c r="H170" s="4"/>
      <c r="I170" s="4"/>
      <c r="J170" s="4"/>
      <c r="K170" s="4"/>
      <c r="L170" s="4"/>
    </row>
    <row r="171" spans="2:12">
      <c r="B171" s="4"/>
      <c r="C171" s="4"/>
      <c r="D171" s="4"/>
      <c r="E171" s="4"/>
      <c r="F171" s="4"/>
      <c r="G171" s="4"/>
      <c r="H171" s="4"/>
      <c r="I171" s="4"/>
      <c r="J171" s="4"/>
      <c r="K171" s="4"/>
      <c r="L171" s="4"/>
    </row>
    <row r="172" spans="2:12">
      <c r="B172" s="4"/>
      <c r="C172" s="4"/>
      <c r="D172" s="4"/>
      <c r="E172" s="4"/>
      <c r="F172" s="4"/>
      <c r="G172" s="4"/>
      <c r="H172" s="4"/>
      <c r="I172" s="4"/>
      <c r="J172" s="4"/>
      <c r="K172" s="4"/>
      <c r="L172" s="4"/>
    </row>
    <row r="173" spans="2:12">
      <c r="B173" s="4"/>
      <c r="C173" s="4"/>
      <c r="D173" s="4"/>
      <c r="E173" s="4"/>
      <c r="F173" s="4"/>
      <c r="G173" s="4"/>
      <c r="H173" s="4"/>
      <c r="I173" s="4"/>
      <c r="J173" s="4"/>
      <c r="K173" s="4"/>
      <c r="L173" s="4"/>
    </row>
    <row r="174" spans="2:12">
      <c r="B174" s="4"/>
      <c r="C174" s="4"/>
      <c r="D174" s="4"/>
      <c r="E174" s="4"/>
      <c r="F174" s="4"/>
      <c r="G174" s="4"/>
      <c r="H174" s="4"/>
      <c r="I174" s="4"/>
      <c r="J174" s="4"/>
      <c r="K174" s="4"/>
      <c r="L174" s="4"/>
    </row>
    <row r="175" spans="2:12">
      <c r="B175" s="4"/>
      <c r="C175" s="4"/>
      <c r="D175" s="4"/>
      <c r="E175" s="4"/>
      <c r="F175" s="4"/>
      <c r="G175" s="4"/>
      <c r="H175" s="4"/>
      <c r="I175" s="4"/>
      <c r="J175" s="4"/>
      <c r="K175" s="4"/>
      <c r="L175" s="4"/>
    </row>
    <row r="176" spans="2:12">
      <c r="B176" s="4"/>
      <c r="C176" s="4"/>
      <c r="D176" s="4"/>
      <c r="E176" s="4"/>
      <c r="F176" s="4"/>
      <c r="G176" s="4"/>
      <c r="H176" s="4"/>
      <c r="I176" s="4"/>
      <c r="J176" s="4"/>
      <c r="K176" s="4"/>
      <c r="L176" s="4"/>
    </row>
    <row r="177" spans="2:12">
      <c r="B177" s="4"/>
      <c r="C177" s="4"/>
      <c r="D177" s="4"/>
      <c r="E177" s="4"/>
      <c r="F177" s="4"/>
      <c r="G177" s="4"/>
      <c r="H177" s="4"/>
      <c r="I177" s="4"/>
      <c r="J177" s="4"/>
      <c r="K177" s="4"/>
      <c r="L177" s="4"/>
    </row>
    <row r="178" spans="2:12">
      <c r="B178" s="4"/>
      <c r="C178" s="4"/>
      <c r="D178" s="4"/>
      <c r="E178" s="4"/>
      <c r="F178" s="4"/>
      <c r="G178" s="4"/>
      <c r="H178" s="4"/>
      <c r="I178" s="4"/>
      <c r="J178" s="4"/>
      <c r="K178" s="4"/>
      <c r="L178" s="4"/>
    </row>
    <row r="179" spans="2:12">
      <c r="B179" s="4"/>
      <c r="C179" s="4"/>
      <c r="D179" s="4"/>
      <c r="E179" s="4"/>
      <c r="F179" s="4"/>
      <c r="G179" s="4"/>
      <c r="H179" s="4"/>
      <c r="I179" s="4"/>
      <c r="J179" s="4"/>
      <c r="K179" s="4"/>
      <c r="L179" s="4"/>
    </row>
    <row r="180" spans="2:12">
      <c r="B180" s="4"/>
      <c r="C180" s="4"/>
      <c r="D180" s="4"/>
      <c r="E180" s="4"/>
      <c r="F180" s="4"/>
      <c r="G180" s="4"/>
      <c r="H180" s="4"/>
      <c r="I180" s="4"/>
      <c r="J180" s="4"/>
      <c r="K180" s="4"/>
      <c r="L180" s="4"/>
    </row>
    <row r="181" spans="2:12">
      <c r="B181" s="4"/>
      <c r="C181" s="4"/>
      <c r="D181" s="4"/>
      <c r="E181" s="4"/>
      <c r="F181" s="4"/>
      <c r="G181" s="4"/>
      <c r="H181" s="4"/>
      <c r="I181" s="4"/>
      <c r="J181" s="4"/>
      <c r="K181" s="4"/>
      <c r="L181" s="4"/>
    </row>
    <row r="182" spans="2:12">
      <c r="B182" s="4"/>
      <c r="C182" s="4"/>
      <c r="D182" s="4"/>
      <c r="E182" s="4"/>
      <c r="F182" s="4"/>
      <c r="G182" s="4"/>
      <c r="H182" s="4"/>
      <c r="I182" s="4"/>
      <c r="J182" s="4"/>
      <c r="K182" s="4"/>
      <c r="L182" s="4"/>
    </row>
    <row r="183" spans="2:12">
      <c r="B183" s="4"/>
      <c r="C183" s="4"/>
      <c r="D183" s="4"/>
      <c r="E183" s="4"/>
      <c r="F183" s="4"/>
      <c r="G183" s="4"/>
      <c r="H183" s="4"/>
      <c r="I183" s="4"/>
      <c r="J183" s="4"/>
      <c r="K183" s="4"/>
      <c r="L183" s="4"/>
    </row>
    <row r="184" spans="2:12">
      <c r="B184" s="4"/>
      <c r="C184" s="4"/>
      <c r="D184" s="4"/>
      <c r="E184" s="4"/>
      <c r="F184" s="4"/>
      <c r="G184" s="4"/>
      <c r="H184" s="4"/>
      <c r="I184" s="4"/>
      <c r="J184" s="4"/>
      <c r="K184" s="4"/>
      <c r="L184" s="4"/>
    </row>
    <row r="185" spans="2:12">
      <c r="B185" s="4"/>
      <c r="C185" s="4"/>
      <c r="D185" s="4"/>
      <c r="E185" s="4"/>
      <c r="F185" s="4"/>
      <c r="G185" s="4"/>
      <c r="H185" s="4"/>
      <c r="I185" s="4"/>
      <c r="J185" s="4"/>
      <c r="K185" s="4"/>
      <c r="L185" s="4"/>
    </row>
    <row r="186" spans="2:12">
      <c r="B186" s="4"/>
      <c r="C186" s="4"/>
      <c r="D186" s="4"/>
      <c r="E186" s="4"/>
      <c r="F186" s="4"/>
      <c r="G186" s="4"/>
      <c r="H186" s="4"/>
      <c r="I186" s="4"/>
      <c r="J186" s="4"/>
      <c r="K186" s="4"/>
      <c r="L186" s="4"/>
    </row>
    <row r="187" spans="2:12">
      <c r="B187" s="4"/>
      <c r="C187" s="4"/>
      <c r="D187" s="4"/>
      <c r="E187" s="4"/>
      <c r="F187" s="4"/>
      <c r="G187" s="4"/>
      <c r="H187" s="4"/>
      <c r="I187" s="4"/>
      <c r="J187" s="4"/>
      <c r="K187" s="4"/>
      <c r="L187" s="4"/>
    </row>
    <row r="188" spans="2:12">
      <c r="B188" s="4"/>
      <c r="C188" s="4"/>
      <c r="D188" s="4"/>
      <c r="E188" s="4"/>
      <c r="F188" s="4"/>
      <c r="G188" s="4"/>
      <c r="H188" s="4"/>
      <c r="I188" s="4"/>
      <c r="J188" s="4"/>
      <c r="K188" s="4"/>
      <c r="L188" s="4"/>
    </row>
    <row r="189" spans="2:12">
      <c r="B189" s="4"/>
      <c r="C189" s="4"/>
      <c r="D189" s="4"/>
      <c r="E189" s="4"/>
      <c r="F189" s="4"/>
      <c r="G189" s="4"/>
      <c r="H189" s="4"/>
      <c r="I189" s="4"/>
      <c r="J189" s="4"/>
      <c r="K189" s="4"/>
      <c r="L189" s="4"/>
    </row>
    <row r="190" spans="2:12" ht="14.25" customHeight="1">
      <c r="B190" s="4"/>
      <c r="C190" s="4"/>
      <c r="D190" s="4"/>
      <c r="E190" s="4"/>
      <c r="F190" s="4"/>
      <c r="G190" s="4"/>
      <c r="H190" s="4"/>
      <c r="I190" s="4"/>
      <c r="J190" s="4"/>
      <c r="K190" s="4"/>
      <c r="L190" s="4"/>
    </row>
    <row r="191" spans="2:12" ht="12.75" customHeight="1">
      <c r="B191" s="4"/>
      <c r="C191" s="4"/>
      <c r="D191" s="4"/>
      <c r="E191" s="4"/>
      <c r="F191" s="4"/>
      <c r="G191" s="4"/>
      <c r="H191" s="4"/>
      <c r="I191" s="4"/>
      <c r="J191" s="4"/>
      <c r="K191" s="4"/>
      <c r="L191" s="4"/>
    </row>
    <row r="192" spans="2:12" ht="12.75" customHeight="1">
      <c r="B192" s="4"/>
      <c r="C192" s="4"/>
      <c r="D192" s="4"/>
      <c r="E192" s="4"/>
      <c r="F192" s="4"/>
      <c r="G192" s="4"/>
      <c r="H192" s="4"/>
      <c r="I192" s="4"/>
      <c r="J192" s="4"/>
      <c r="K192" s="4"/>
      <c r="L192" s="4"/>
    </row>
    <row r="193" spans="2:12" ht="12.75" customHeight="1">
      <c r="B193" s="4"/>
      <c r="C193" s="4"/>
      <c r="D193" s="4"/>
      <c r="E193" s="4"/>
      <c r="F193" s="4"/>
      <c r="G193" s="4"/>
      <c r="H193" s="4"/>
      <c r="I193" s="4"/>
      <c r="J193" s="4"/>
      <c r="K193" s="4"/>
      <c r="L193" s="4"/>
    </row>
    <row r="194" spans="2:12" ht="12.75" customHeight="1">
      <c r="B194" s="4"/>
      <c r="C194" s="4"/>
      <c r="D194" s="4"/>
      <c r="E194" s="4"/>
      <c r="F194" s="4"/>
      <c r="G194" s="4"/>
      <c r="H194" s="4"/>
      <c r="I194" s="4"/>
      <c r="J194" s="4"/>
      <c r="K194" s="4"/>
      <c r="L194" s="4"/>
    </row>
    <row r="195" spans="2:12" ht="12.75" customHeight="1">
      <c r="B195" s="4"/>
      <c r="C195" s="4"/>
      <c r="D195" s="4"/>
      <c r="E195" s="4"/>
      <c r="F195" s="4"/>
      <c r="G195" s="4"/>
      <c r="H195" s="4"/>
      <c r="I195" s="4"/>
      <c r="J195" s="4"/>
      <c r="K195" s="4"/>
      <c r="L195" s="4"/>
    </row>
    <row r="196" spans="2:12" ht="12.75" customHeight="1">
      <c r="B196" s="4"/>
      <c r="C196" s="4"/>
      <c r="D196" s="4"/>
      <c r="E196" s="4"/>
      <c r="F196" s="4"/>
      <c r="G196" s="4"/>
      <c r="H196" s="4"/>
      <c r="I196" s="4"/>
      <c r="J196" s="4"/>
      <c r="K196" s="4"/>
      <c r="L196" s="4"/>
    </row>
    <row r="197" spans="2:12" ht="12.75" customHeight="1">
      <c r="B197" s="4"/>
      <c r="C197" s="4"/>
      <c r="D197" s="4"/>
      <c r="E197" s="4"/>
      <c r="F197" s="4"/>
      <c r="G197" s="4"/>
      <c r="H197" s="4"/>
      <c r="I197" s="4"/>
      <c r="J197" s="4"/>
      <c r="K197" s="4"/>
      <c r="L197" s="4"/>
    </row>
    <row r="198" spans="2:12" ht="12.75" customHeight="1">
      <c r="B198" s="4"/>
      <c r="C198" s="4"/>
      <c r="D198" s="4"/>
      <c r="E198" s="4"/>
      <c r="F198" s="4"/>
      <c r="G198" s="4"/>
      <c r="H198" s="4"/>
      <c r="I198" s="4"/>
      <c r="J198" s="4"/>
      <c r="K198" s="4"/>
      <c r="L198" s="4"/>
    </row>
    <row r="199" spans="2:12" ht="12.75" customHeight="1">
      <c r="B199" s="4"/>
      <c r="C199" s="4"/>
      <c r="D199" s="4"/>
      <c r="E199" s="4"/>
      <c r="F199" s="4"/>
      <c r="G199" s="4"/>
      <c r="H199" s="4"/>
      <c r="I199" s="4"/>
      <c r="J199" s="4"/>
      <c r="K199" s="4"/>
      <c r="L199" s="4"/>
    </row>
    <row r="200" spans="2:12" ht="12.75" customHeight="1">
      <c r="B200" s="4"/>
      <c r="C200" s="4"/>
      <c r="D200" s="4"/>
      <c r="E200" s="4"/>
      <c r="F200" s="4"/>
      <c r="G200" s="4"/>
      <c r="H200" s="4"/>
      <c r="I200" s="4"/>
      <c r="J200" s="4"/>
      <c r="K200" s="4"/>
      <c r="L200" s="4"/>
    </row>
    <row r="201" spans="2:12" ht="12.75" customHeight="1">
      <c r="B201" s="4"/>
      <c r="C201" s="4"/>
      <c r="D201" s="4"/>
      <c r="E201" s="4"/>
      <c r="F201" s="4"/>
      <c r="G201" s="4"/>
      <c r="H201" s="4"/>
      <c r="I201" s="4"/>
      <c r="J201" s="4"/>
      <c r="K201" s="4"/>
      <c r="L201" s="4"/>
    </row>
    <row r="202" spans="2:12" ht="12.75" customHeight="1">
      <c r="B202" s="4"/>
      <c r="C202" s="4"/>
      <c r="D202" s="4"/>
      <c r="E202" s="4"/>
      <c r="F202" s="4"/>
      <c r="G202" s="4"/>
      <c r="H202" s="4"/>
      <c r="I202" s="4"/>
      <c r="J202" s="4"/>
      <c r="K202" s="4"/>
      <c r="L202" s="4"/>
    </row>
    <row r="203" spans="2:12" ht="12.75" customHeight="1">
      <c r="B203" s="4"/>
      <c r="C203" s="4"/>
      <c r="D203" s="4"/>
      <c r="E203" s="4"/>
      <c r="F203" s="4"/>
      <c r="G203" s="4"/>
      <c r="H203" s="4"/>
      <c r="I203" s="4"/>
      <c r="J203" s="4"/>
      <c r="K203" s="4"/>
      <c r="L203" s="4"/>
    </row>
    <row r="204" spans="2:12" ht="12.75" customHeight="1">
      <c r="B204" s="4"/>
      <c r="C204" s="4"/>
      <c r="D204" s="4"/>
      <c r="E204" s="4"/>
      <c r="F204" s="4"/>
      <c r="G204" s="4"/>
      <c r="H204" s="4"/>
      <c r="I204" s="4"/>
      <c r="J204" s="4"/>
      <c r="K204" s="4"/>
      <c r="L204" s="4"/>
    </row>
    <row r="205" spans="2:12" ht="12.75" customHeight="1">
      <c r="B205" s="4"/>
      <c r="C205" s="4"/>
      <c r="D205" s="4"/>
      <c r="E205" s="4"/>
      <c r="F205" s="4"/>
      <c r="G205" s="4"/>
      <c r="H205" s="4"/>
      <c r="I205" s="4"/>
      <c r="J205" s="4"/>
      <c r="K205" s="4"/>
      <c r="L205" s="4"/>
    </row>
    <row r="206" spans="2:12">
      <c r="B206" s="4"/>
      <c r="C206" s="4"/>
      <c r="D206" s="4"/>
      <c r="E206" s="4"/>
      <c r="F206" s="4"/>
      <c r="G206" s="4"/>
      <c r="H206" s="4"/>
      <c r="I206" s="4"/>
      <c r="J206" s="4"/>
      <c r="K206" s="4"/>
      <c r="L206" s="4"/>
    </row>
    <row r="207" spans="2:12">
      <c r="B207" s="4"/>
      <c r="C207" s="4"/>
      <c r="D207" s="4"/>
      <c r="E207" s="4"/>
      <c r="F207" s="4"/>
      <c r="G207" s="4"/>
      <c r="H207" s="4"/>
      <c r="I207" s="4"/>
      <c r="J207" s="4"/>
      <c r="K207" s="4"/>
      <c r="L207" s="4"/>
    </row>
    <row r="208" spans="2:12">
      <c r="B208" s="4"/>
      <c r="C208" s="4"/>
      <c r="D208" s="4"/>
      <c r="E208" s="4"/>
      <c r="F208" s="4"/>
      <c r="G208" s="4"/>
      <c r="H208" s="4"/>
      <c r="I208" s="4"/>
      <c r="J208" s="4"/>
      <c r="K208" s="4"/>
      <c r="L208" s="4"/>
    </row>
    <row r="209" spans="2:12">
      <c r="B209" s="4"/>
      <c r="C209" s="4"/>
      <c r="D209" s="4"/>
      <c r="E209" s="4"/>
      <c r="F209" s="4"/>
      <c r="G209" s="4"/>
      <c r="H209" s="4"/>
      <c r="I209" s="4"/>
      <c r="J209" s="4"/>
      <c r="K209" s="4"/>
      <c r="L209" s="4"/>
    </row>
    <row r="210" spans="2:12">
      <c r="B210" s="4"/>
      <c r="C210" s="4"/>
      <c r="D210" s="4"/>
      <c r="E210" s="4"/>
      <c r="F210" s="4"/>
      <c r="G210" s="4"/>
      <c r="H210" s="4"/>
      <c r="I210" s="4"/>
      <c r="J210" s="4"/>
      <c r="K210" s="4"/>
      <c r="L210" s="4"/>
    </row>
    <row r="211" spans="2:12">
      <c r="B211" s="4"/>
      <c r="C211" s="4"/>
      <c r="D211" s="4"/>
      <c r="E211" s="4"/>
      <c r="F211" s="4"/>
      <c r="G211" s="4"/>
      <c r="H211" s="4"/>
      <c r="I211" s="4"/>
      <c r="J211" s="4"/>
      <c r="K211" s="4"/>
      <c r="L211" s="4"/>
    </row>
    <row r="212" spans="2:12">
      <c r="B212" s="4"/>
      <c r="C212" s="4"/>
      <c r="D212" s="4"/>
      <c r="E212" s="4"/>
      <c r="F212" s="4"/>
      <c r="G212" s="4"/>
      <c r="H212" s="4"/>
      <c r="I212" s="4"/>
      <c r="J212" s="4"/>
      <c r="K212" s="4"/>
      <c r="L212" s="4"/>
    </row>
    <row r="213" spans="2:12">
      <c r="B213" s="4"/>
      <c r="C213" s="4"/>
      <c r="D213" s="4"/>
      <c r="E213" s="4"/>
      <c r="F213" s="4"/>
      <c r="G213" s="4"/>
      <c r="H213" s="4"/>
      <c r="I213" s="4"/>
      <c r="J213" s="4"/>
      <c r="K213" s="4"/>
      <c r="L213" s="4"/>
    </row>
    <row r="214" spans="2:12">
      <c r="B214" s="4"/>
      <c r="C214" s="4"/>
      <c r="D214" s="4"/>
      <c r="E214" s="4"/>
      <c r="F214" s="4"/>
      <c r="G214" s="4"/>
      <c r="H214" s="4"/>
      <c r="I214" s="4"/>
      <c r="J214" s="4"/>
      <c r="K214" s="4"/>
      <c r="L214" s="4"/>
    </row>
    <row r="215" spans="2:12">
      <c r="B215" s="4"/>
      <c r="C215" s="4"/>
      <c r="D215" s="4"/>
      <c r="E215" s="4"/>
      <c r="F215" s="4"/>
      <c r="G215" s="4"/>
      <c r="H215" s="4"/>
      <c r="I215" s="4"/>
      <c r="J215" s="4"/>
      <c r="K215" s="4"/>
      <c r="L215" s="4"/>
    </row>
    <row r="216" spans="2:12">
      <c r="B216" s="4"/>
      <c r="C216" s="4"/>
      <c r="D216" s="4"/>
      <c r="E216" s="4"/>
      <c r="F216" s="4"/>
      <c r="G216" s="4"/>
      <c r="H216" s="4"/>
      <c r="I216" s="4"/>
      <c r="J216" s="4"/>
      <c r="K216" s="4"/>
      <c r="L216" s="4"/>
    </row>
    <row r="217" spans="2:12">
      <c r="B217" s="4"/>
      <c r="C217" s="4"/>
      <c r="D217" s="4"/>
      <c r="E217" s="4"/>
      <c r="F217" s="4"/>
      <c r="G217" s="4"/>
      <c r="H217" s="4"/>
      <c r="I217" s="4"/>
      <c r="J217" s="4"/>
      <c r="K217" s="4"/>
      <c r="L217" s="4"/>
    </row>
    <row r="218" spans="2:12">
      <c r="B218" s="4"/>
      <c r="C218" s="4"/>
      <c r="D218" s="4"/>
      <c r="E218" s="4"/>
      <c r="F218" s="4"/>
      <c r="G218" s="4"/>
      <c r="H218" s="4"/>
      <c r="I218" s="4"/>
      <c r="J218" s="4"/>
      <c r="K218" s="4"/>
      <c r="L218" s="4"/>
    </row>
    <row r="219" spans="2:12">
      <c r="B219" s="4"/>
      <c r="C219" s="4"/>
      <c r="D219" s="4"/>
      <c r="E219" s="4"/>
      <c r="F219" s="4"/>
      <c r="G219" s="4"/>
      <c r="H219" s="4"/>
      <c r="I219" s="4"/>
      <c r="J219" s="4"/>
      <c r="K219" s="4"/>
      <c r="L219" s="4"/>
    </row>
    <row r="220" spans="2:12">
      <c r="B220" s="4"/>
      <c r="C220" s="4"/>
      <c r="D220" s="4"/>
      <c r="E220" s="4"/>
      <c r="F220" s="4"/>
      <c r="G220" s="4"/>
      <c r="H220" s="4"/>
      <c r="I220" s="4"/>
      <c r="J220" s="4"/>
      <c r="K220" s="4"/>
      <c r="L220" s="4"/>
    </row>
    <row r="221" spans="2:12">
      <c r="B221" s="4"/>
      <c r="C221" s="4"/>
      <c r="D221" s="4"/>
      <c r="E221" s="4"/>
      <c r="F221" s="4"/>
      <c r="G221" s="4"/>
      <c r="H221" s="4"/>
      <c r="I221" s="4"/>
      <c r="J221" s="4"/>
      <c r="K221" s="4"/>
      <c r="L221" s="4"/>
    </row>
    <row r="222" spans="2:12">
      <c r="B222" s="4"/>
      <c r="C222" s="4"/>
      <c r="D222" s="4"/>
      <c r="E222" s="4"/>
      <c r="F222" s="4"/>
      <c r="G222" s="4"/>
      <c r="H222" s="4"/>
      <c r="I222" s="4"/>
      <c r="J222" s="4"/>
      <c r="K222" s="4"/>
      <c r="L222" s="4"/>
    </row>
    <row r="223" spans="2:12">
      <c r="B223" s="4"/>
      <c r="C223" s="4"/>
      <c r="D223" s="4"/>
      <c r="E223" s="4"/>
      <c r="F223" s="4"/>
      <c r="G223" s="4"/>
      <c r="H223" s="4"/>
      <c r="I223" s="4"/>
      <c r="J223" s="4"/>
      <c r="K223" s="4"/>
      <c r="L223" s="4"/>
    </row>
  </sheetData>
  <mergeCells count="8">
    <mergeCell ref="C54:I55"/>
    <mergeCell ref="A3:I3"/>
    <mergeCell ref="A4:I4"/>
    <mergeCell ref="A5:I5"/>
    <mergeCell ref="E10:E11"/>
    <mergeCell ref="A6:I6"/>
    <mergeCell ref="G10:G11"/>
    <mergeCell ref="I10:I11"/>
  </mergeCells>
  <phoneticPr fontId="0" type="noConversion"/>
  <pageMargins left="0.26" right="0.59" top="1" bottom="1" header="0.75" footer="0.5"/>
  <pageSetup scale="62" orientation="portrait" r:id="rId1"/>
  <headerFooter alignWithMargins="0">
    <oddHeader>&amp;R&amp;"Arial,Bold"Formula Rate
 &amp;A
Page &amp;P of &amp;N</oddHeader>
  </headerFooter>
  <rowBreaks count="1" manualBreakCount="1">
    <brk id="62"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K57"/>
  <sheetViews>
    <sheetView tabSelected="1" view="pageBreakPreview" zoomScale="60" zoomScaleNormal="100" workbookViewId="0">
      <selection activeCell="D9" sqref="D9"/>
    </sheetView>
  </sheetViews>
  <sheetFormatPr defaultRowHeight="12.75"/>
  <cols>
    <col min="1" max="1" width="19.42578125" customWidth="1"/>
    <col min="4" max="4" width="16.140625" customWidth="1"/>
    <col min="6" max="6" width="9.140625" bestFit="1" customWidth="1"/>
    <col min="8" max="8" width="15.42578125" customWidth="1"/>
    <col min="9" max="9" width="16.85546875" customWidth="1"/>
    <col min="11" max="11" width="15" customWidth="1"/>
  </cols>
  <sheetData>
    <row r="1" spans="1:11" ht="15.75">
      <c r="A1" s="1325" t="s">
        <v>388</v>
      </c>
      <c r="B1" s="1325"/>
      <c r="C1" s="1325"/>
      <c r="D1" s="1325"/>
      <c r="E1" s="1325"/>
      <c r="F1" s="1325"/>
      <c r="G1" s="1325"/>
      <c r="H1" s="1325"/>
      <c r="I1" s="1325"/>
      <c r="J1" s="1325"/>
      <c r="K1" s="1325"/>
    </row>
    <row r="2" spans="1:11" ht="15.75">
      <c r="A2" s="1326" t="s">
        <v>569</v>
      </c>
      <c r="B2" s="1326"/>
      <c r="C2" s="1326"/>
      <c r="D2" s="1326"/>
      <c r="E2" s="1326"/>
      <c r="F2" s="1326"/>
      <c r="G2" s="1326"/>
      <c r="H2" s="1326"/>
      <c r="I2" s="1326"/>
      <c r="J2" s="1326"/>
      <c r="K2" s="1326"/>
    </row>
    <row r="3" spans="1:11" ht="15.75">
      <c r="A3" s="1326" t="s">
        <v>570</v>
      </c>
      <c r="B3" s="1326"/>
      <c r="C3" s="1326"/>
      <c r="D3" s="1326"/>
      <c r="E3" s="1326"/>
      <c r="F3" s="1326"/>
      <c r="G3" s="1326"/>
      <c r="H3" s="1326"/>
      <c r="I3" s="1326"/>
      <c r="J3" s="1326"/>
      <c r="K3" s="1326"/>
    </row>
    <row r="4" spans="1:11" ht="15.75">
      <c r="A4" s="2"/>
      <c r="B4" s="2"/>
      <c r="C4" s="2"/>
      <c r="D4" s="1326"/>
      <c r="E4" s="1326"/>
      <c r="F4" s="1326"/>
      <c r="G4" s="1326"/>
      <c r="H4" s="2"/>
      <c r="I4" s="2"/>
      <c r="J4" s="2"/>
      <c r="K4" s="2"/>
    </row>
    <row r="7" spans="1:11" ht="16.5" thickBot="1">
      <c r="A7" s="579"/>
      <c r="B7" s="580"/>
      <c r="C7" s="580"/>
      <c r="D7" s="580"/>
      <c r="E7" s="580"/>
      <c r="F7" s="580"/>
      <c r="G7" s="580"/>
      <c r="H7" s="580"/>
      <c r="I7" s="580"/>
      <c r="J7" s="580"/>
      <c r="K7" s="580"/>
    </row>
    <row r="8" spans="1:11" ht="78.75">
      <c r="A8" s="581" t="str">
        <f>"Reconciliation Revenue Requirement For Year 2018 Available May 25, 2019"</f>
        <v>Reconciliation Revenue Requirement For Year 2018 Available May 25, 2019</v>
      </c>
      <c r="B8" s="580"/>
      <c r="C8" s="580"/>
      <c r="D8" s="581" t="s">
        <v>1064</v>
      </c>
      <c r="E8" s="580"/>
      <c r="F8" s="580"/>
      <c r="G8" s="2"/>
      <c r="H8" s="581" t="s">
        <v>550</v>
      </c>
      <c r="I8" s="2"/>
      <c r="J8" s="2"/>
      <c r="K8" s="2"/>
    </row>
    <row r="9" spans="1:11" ht="15.75">
      <c r="A9" s="582" t="s">
        <v>115</v>
      </c>
      <c r="B9" s="580"/>
      <c r="C9" s="580"/>
      <c r="D9" s="582"/>
      <c r="E9" s="580"/>
      <c r="F9" s="580"/>
      <c r="G9" s="2"/>
      <c r="H9" s="583"/>
      <c r="I9" s="2"/>
      <c r="J9" s="2"/>
      <c r="K9" s="2"/>
    </row>
    <row r="10" spans="1:11" ht="16.5" thickBot="1">
      <c r="A10" s="663">
        <v>0</v>
      </c>
      <c r="B10" s="584" t="str">
        <f>"-"</f>
        <v>-</v>
      </c>
      <c r="C10" s="585"/>
      <c r="D10" s="663">
        <v>0</v>
      </c>
      <c r="E10" s="586"/>
      <c r="F10" s="587" t="str">
        <f>"="</f>
        <v>=</v>
      </c>
      <c r="G10" s="588"/>
      <c r="H10" s="589">
        <f>IF(A10=0,0,D10-A10)</f>
        <v>0</v>
      </c>
      <c r="I10" s="2"/>
      <c r="J10" s="2"/>
      <c r="K10" s="2"/>
    </row>
    <row r="11" spans="1:11" ht="15.75">
      <c r="A11" s="590"/>
      <c r="B11" s="591"/>
      <c r="C11" s="591"/>
      <c r="D11" s="590"/>
      <c r="E11" s="590"/>
      <c r="F11" s="591"/>
      <c r="G11" s="590"/>
      <c r="H11" s="2"/>
      <c r="I11" s="2"/>
      <c r="J11" s="2"/>
      <c r="K11" s="2"/>
    </row>
    <row r="12" spans="1:11" ht="16.5" thickBot="1">
      <c r="A12" s="592"/>
      <c r="B12" s="593"/>
      <c r="C12" s="593"/>
      <c r="D12" s="592"/>
      <c r="E12" s="592"/>
      <c r="F12" s="593"/>
      <c r="G12" s="592"/>
      <c r="H12" s="594"/>
      <c r="I12" s="594"/>
      <c r="J12" s="594"/>
      <c r="K12" s="594"/>
    </row>
    <row r="13" spans="1:11" ht="15.75">
      <c r="A13" s="595"/>
      <c r="B13" s="591"/>
      <c r="C13" s="591"/>
      <c r="D13" s="590"/>
      <c r="E13" s="590"/>
      <c r="F13" s="591"/>
      <c r="G13" s="590"/>
      <c r="H13" s="2"/>
      <c r="I13" s="2"/>
      <c r="J13" s="2"/>
      <c r="K13" s="2"/>
    </row>
    <row r="14" spans="1:11" ht="63">
      <c r="A14" s="596" t="s">
        <v>551</v>
      </c>
      <c r="B14" s="591"/>
      <c r="C14" s="591"/>
      <c r="D14" s="597" t="s">
        <v>552</v>
      </c>
      <c r="E14" s="590"/>
      <c r="F14" s="597" t="s">
        <v>553</v>
      </c>
      <c r="G14" s="598" t="s">
        <v>554</v>
      </c>
      <c r="H14" s="599" t="s">
        <v>555</v>
      </c>
      <c r="I14" s="597" t="s">
        <v>556</v>
      </c>
      <c r="J14" s="600"/>
      <c r="K14" s="597" t="s">
        <v>557</v>
      </c>
    </row>
    <row r="15" spans="1:11" ht="15.75">
      <c r="A15" s="596" t="s">
        <v>558</v>
      </c>
      <c r="B15" s="591"/>
      <c r="C15" s="591"/>
      <c r="D15" s="2"/>
      <c r="E15" s="601"/>
      <c r="F15" s="664">
        <f>'WSQ NSPL'!F15</f>
        <v>4.0949999999999997E-3</v>
      </c>
      <c r="H15" s="2"/>
      <c r="I15" s="2"/>
      <c r="J15" s="2"/>
      <c r="K15" s="2"/>
    </row>
    <row r="16" spans="1:11" ht="15.75">
      <c r="A16" s="596"/>
      <c r="B16" s="591"/>
      <c r="C16" s="591"/>
      <c r="D16" s="2"/>
      <c r="E16" s="601"/>
      <c r="F16" s="601"/>
      <c r="G16" s="590"/>
      <c r="H16" s="2"/>
      <c r="I16" s="2"/>
      <c r="J16" s="2"/>
      <c r="K16" s="2"/>
    </row>
    <row r="17" spans="1:11" ht="15.75">
      <c r="A17" s="596" t="s">
        <v>1065</v>
      </c>
      <c r="B17" s="591"/>
      <c r="C17" s="591"/>
      <c r="D17" s="2"/>
      <c r="E17" s="601"/>
      <c r="F17" s="601"/>
      <c r="G17" s="590"/>
      <c r="H17" s="2"/>
      <c r="I17" s="2"/>
      <c r="J17" s="2"/>
      <c r="K17" s="2"/>
    </row>
    <row r="18" spans="1:11" ht="15.75">
      <c r="A18" s="602" t="s">
        <v>115</v>
      </c>
      <c r="B18" s="591"/>
      <c r="C18" s="591"/>
      <c r="D18" s="591"/>
      <c r="E18" s="591"/>
      <c r="F18" s="591" t="s">
        <v>115</v>
      </c>
      <c r="G18" s="2"/>
      <c r="H18" s="2"/>
      <c r="I18" s="2"/>
      <c r="J18" s="2"/>
      <c r="K18" s="2"/>
    </row>
    <row r="19" spans="1:11" ht="15.75">
      <c r="A19" s="603"/>
      <c r="B19" s="591"/>
      <c r="C19" s="591"/>
      <c r="D19" s="591"/>
      <c r="E19" s="591"/>
      <c r="F19" s="2"/>
      <c r="G19" s="2"/>
      <c r="H19" s="598"/>
      <c r="I19" s="591"/>
      <c r="J19" s="591"/>
      <c r="K19" s="591"/>
    </row>
    <row r="20" spans="1:11" ht="15.75">
      <c r="A20" s="603" t="s">
        <v>559</v>
      </c>
      <c r="B20" s="591"/>
      <c r="C20" s="591"/>
      <c r="D20" s="591"/>
      <c r="E20" s="591"/>
      <c r="F20" s="2"/>
      <c r="G20" s="2"/>
      <c r="H20" s="598" t="s">
        <v>560</v>
      </c>
      <c r="I20" s="591"/>
      <c r="J20" s="591"/>
      <c r="K20" s="591"/>
    </row>
    <row r="21" spans="1:11" ht="15.75">
      <c r="A21" s="580" t="s">
        <v>186</v>
      </c>
      <c r="B21" s="580" t="str">
        <f>"Year 2018"</f>
        <v>Year 2018</v>
      </c>
      <c r="C21" s="580"/>
      <c r="D21" s="604">
        <f>H10/12</f>
        <v>0</v>
      </c>
      <c r="E21" s="604"/>
      <c r="F21" s="605">
        <f>+F15</f>
        <v>4.0949999999999997E-3</v>
      </c>
      <c r="G21" s="580">
        <v>12</v>
      </c>
      <c r="H21" s="604">
        <f>F21*D21*G21*-1</f>
        <v>0</v>
      </c>
      <c r="I21" s="604"/>
      <c r="J21" s="604"/>
      <c r="K21" s="604">
        <f>(-H21+D21)*-1</f>
        <v>0</v>
      </c>
    </row>
    <row r="22" spans="1:11" ht="15.75">
      <c r="A22" s="580" t="s">
        <v>561</v>
      </c>
      <c r="B22" s="580" t="str">
        <f>B21</f>
        <v>Year 2018</v>
      </c>
      <c r="C22" s="580"/>
      <c r="D22" s="604">
        <f>+D21</f>
        <v>0</v>
      </c>
      <c r="E22" s="604"/>
      <c r="F22" s="605">
        <f>+F21</f>
        <v>4.0949999999999997E-3</v>
      </c>
      <c r="G22" s="580">
        <f t="shared" ref="G22:G32" si="0">+G21-1</f>
        <v>11</v>
      </c>
      <c r="H22" s="604">
        <f t="shared" ref="H22:H32" si="1">F22*D22*G22*-1</f>
        <v>0</v>
      </c>
      <c r="I22" s="604"/>
      <c r="J22" s="604"/>
      <c r="K22" s="604">
        <f t="shared" ref="K22:K32" si="2">(-H22+D22)*-1</f>
        <v>0</v>
      </c>
    </row>
    <row r="23" spans="1:11" ht="15.75">
      <c r="A23" s="580" t="s">
        <v>187</v>
      </c>
      <c r="B23" s="580" t="str">
        <f t="shared" ref="B23:B32" si="3">B22</f>
        <v>Year 2018</v>
      </c>
      <c r="C23" s="580"/>
      <c r="D23" s="604">
        <f t="shared" ref="D23:D32" si="4">+D22</f>
        <v>0</v>
      </c>
      <c r="E23" s="604"/>
      <c r="F23" s="605">
        <f t="shared" ref="F23:F32" si="5">+F22</f>
        <v>4.0949999999999997E-3</v>
      </c>
      <c r="G23" s="580">
        <f t="shared" si="0"/>
        <v>10</v>
      </c>
      <c r="H23" s="604">
        <f t="shared" si="1"/>
        <v>0</v>
      </c>
      <c r="I23" s="604"/>
      <c r="J23" s="604"/>
      <c r="K23" s="604">
        <f t="shared" si="2"/>
        <v>0</v>
      </c>
    </row>
    <row r="24" spans="1:11" ht="15.75">
      <c r="A24" s="580" t="s">
        <v>188</v>
      </c>
      <c r="B24" s="580" t="str">
        <f t="shared" si="3"/>
        <v>Year 2018</v>
      </c>
      <c r="C24" s="580"/>
      <c r="D24" s="604">
        <f t="shared" si="4"/>
        <v>0</v>
      </c>
      <c r="E24" s="604"/>
      <c r="F24" s="605">
        <f t="shared" si="5"/>
        <v>4.0949999999999997E-3</v>
      </c>
      <c r="G24" s="580">
        <f t="shared" si="0"/>
        <v>9</v>
      </c>
      <c r="H24" s="604">
        <f t="shared" si="1"/>
        <v>0</v>
      </c>
      <c r="I24" s="604"/>
      <c r="J24" s="604"/>
      <c r="K24" s="604">
        <f t="shared" si="2"/>
        <v>0</v>
      </c>
    </row>
    <row r="25" spans="1:11" ht="15.75">
      <c r="A25" s="580" t="s">
        <v>189</v>
      </c>
      <c r="B25" s="580" t="str">
        <f t="shared" si="3"/>
        <v>Year 2018</v>
      </c>
      <c r="C25" s="580"/>
      <c r="D25" s="604">
        <f t="shared" si="4"/>
        <v>0</v>
      </c>
      <c r="E25" s="604"/>
      <c r="F25" s="605">
        <f t="shared" si="5"/>
        <v>4.0949999999999997E-3</v>
      </c>
      <c r="G25" s="580">
        <f t="shared" si="0"/>
        <v>8</v>
      </c>
      <c r="H25" s="604">
        <f t="shared" si="1"/>
        <v>0</v>
      </c>
      <c r="I25" s="604"/>
      <c r="J25" s="604"/>
      <c r="K25" s="604">
        <f t="shared" si="2"/>
        <v>0</v>
      </c>
    </row>
    <row r="26" spans="1:11" ht="15.75">
      <c r="A26" s="580" t="s">
        <v>383</v>
      </c>
      <c r="B26" s="580" t="str">
        <f t="shared" si="3"/>
        <v>Year 2018</v>
      </c>
      <c r="C26" s="580"/>
      <c r="D26" s="604">
        <f t="shared" si="4"/>
        <v>0</v>
      </c>
      <c r="E26" s="604"/>
      <c r="F26" s="605">
        <f t="shared" si="5"/>
        <v>4.0949999999999997E-3</v>
      </c>
      <c r="G26" s="580">
        <f t="shared" si="0"/>
        <v>7</v>
      </c>
      <c r="H26" s="604">
        <f t="shared" si="1"/>
        <v>0</v>
      </c>
      <c r="I26" s="604"/>
      <c r="J26" s="604"/>
      <c r="K26" s="604">
        <f t="shared" si="2"/>
        <v>0</v>
      </c>
    </row>
    <row r="27" spans="1:11" ht="15.75">
      <c r="A27" s="580" t="s">
        <v>190</v>
      </c>
      <c r="B27" s="580" t="str">
        <f t="shared" si="3"/>
        <v>Year 2018</v>
      </c>
      <c r="C27" s="580"/>
      <c r="D27" s="604">
        <f t="shared" si="4"/>
        <v>0</v>
      </c>
      <c r="E27" s="604"/>
      <c r="F27" s="605">
        <f t="shared" si="5"/>
        <v>4.0949999999999997E-3</v>
      </c>
      <c r="G27" s="580">
        <f t="shared" si="0"/>
        <v>6</v>
      </c>
      <c r="H27" s="604">
        <f t="shared" si="1"/>
        <v>0</v>
      </c>
      <c r="I27" s="604"/>
      <c r="J27" s="604"/>
      <c r="K27" s="604">
        <f t="shared" si="2"/>
        <v>0</v>
      </c>
    </row>
    <row r="28" spans="1:11" ht="15.75">
      <c r="A28" s="580" t="s">
        <v>191</v>
      </c>
      <c r="B28" s="580" t="str">
        <f t="shared" si="3"/>
        <v>Year 2018</v>
      </c>
      <c r="C28" s="580"/>
      <c r="D28" s="604">
        <f t="shared" si="4"/>
        <v>0</v>
      </c>
      <c r="E28" s="604"/>
      <c r="F28" s="605">
        <f t="shared" si="5"/>
        <v>4.0949999999999997E-3</v>
      </c>
      <c r="G28" s="580">
        <f t="shared" si="0"/>
        <v>5</v>
      </c>
      <c r="H28" s="604">
        <f t="shared" si="1"/>
        <v>0</v>
      </c>
      <c r="I28" s="604"/>
      <c r="J28" s="604"/>
      <c r="K28" s="604">
        <f t="shared" si="2"/>
        <v>0</v>
      </c>
    </row>
    <row r="29" spans="1:11" ht="15.75">
      <c r="A29" s="580" t="s">
        <v>193</v>
      </c>
      <c r="B29" s="580" t="str">
        <f t="shared" si="3"/>
        <v>Year 2018</v>
      </c>
      <c r="C29" s="580"/>
      <c r="D29" s="604">
        <f t="shared" si="4"/>
        <v>0</v>
      </c>
      <c r="E29" s="604"/>
      <c r="F29" s="605">
        <f t="shared" si="5"/>
        <v>4.0949999999999997E-3</v>
      </c>
      <c r="G29" s="580">
        <f t="shared" si="0"/>
        <v>4</v>
      </c>
      <c r="H29" s="604">
        <f t="shared" si="1"/>
        <v>0</v>
      </c>
      <c r="I29" s="604"/>
      <c r="J29" s="604"/>
      <c r="K29" s="604">
        <f t="shared" si="2"/>
        <v>0</v>
      </c>
    </row>
    <row r="30" spans="1:11" ht="15.75">
      <c r="A30" s="580" t="s">
        <v>562</v>
      </c>
      <c r="B30" s="580" t="str">
        <f t="shared" si="3"/>
        <v>Year 2018</v>
      </c>
      <c r="C30" s="580"/>
      <c r="D30" s="604">
        <f t="shared" si="4"/>
        <v>0</v>
      </c>
      <c r="E30" s="604"/>
      <c r="F30" s="605">
        <f t="shared" si="5"/>
        <v>4.0949999999999997E-3</v>
      </c>
      <c r="G30" s="580">
        <f t="shared" si="0"/>
        <v>3</v>
      </c>
      <c r="H30" s="604">
        <f t="shared" si="1"/>
        <v>0</v>
      </c>
      <c r="I30" s="604"/>
      <c r="J30" s="604"/>
      <c r="K30" s="604">
        <f t="shared" si="2"/>
        <v>0</v>
      </c>
    </row>
    <row r="31" spans="1:11" ht="15.75">
      <c r="A31" s="580" t="s">
        <v>563</v>
      </c>
      <c r="B31" s="580" t="str">
        <f t="shared" si="3"/>
        <v>Year 2018</v>
      </c>
      <c r="C31" s="580"/>
      <c r="D31" s="604">
        <f t="shared" si="4"/>
        <v>0</v>
      </c>
      <c r="E31" s="604"/>
      <c r="F31" s="605">
        <f t="shared" si="5"/>
        <v>4.0949999999999997E-3</v>
      </c>
      <c r="G31" s="580">
        <f t="shared" si="0"/>
        <v>2</v>
      </c>
      <c r="H31" s="604">
        <f t="shared" si="1"/>
        <v>0</v>
      </c>
      <c r="I31" s="604"/>
      <c r="J31" s="604"/>
      <c r="K31" s="604">
        <f t="shared" si="2"/>
        <v>0</v>
      </c>
    </row>
    <row r="32" spans="1:11" ht="15.75">
      <c r="A32" s="580" t="s">
        <v>192</v>
      </c>
      <c r="B32" s="580" t="str">
        <f t="shared" si="3"/>
        <v>Year 2018</v>
      </c>
      <c r="C32" s="580"/>
      <c r="D32" s="604">
        <f t="shared" si="4"/>
        <v>0</v>
      </c>
      <c r="E32" s="604"/>
      <c r="F32" s="605">
        <f t="shared" si="5"/>
        <v>4.0949999999999997E-3</v>
      </c>
      <c r="G32" s="580">
        <f t="shared" si="0"/>
        <v>1</v>
      </c>
      <c r="H32" s="606">
        <f t="shared" si="1"/>
        <v>0</v>
      </c>
      <c r="I32" s="604"/>
      <c r="J32" s="604"/>
      <c r="K32" s="604">
        <f t="shared" si="2"/>
        <v>0</v>
      </c>
    </row>
    <row r="33" spans="1:11" ht="15.75">
      <c r="A33" s="580"/>
      <c r="B33" s="580"/>
      <c r="C33" s="580"/>
      <c r="D33" s="604"/>
      <c r="E33" s="604"/>
      <c r="F33" s="605"/>
      <c r="G33" s="580"/>
      <c r="H33" s="604">
        <f>SUM(H21:H32)</f>
        <v>0</v>
      </c>
      <c r="I33" s="604"/>
      <c r="J33" s="604"/>
      <c r="K33" s="607">
        <f>SUM(K21:K32)</f>
        <v>0</v>
      </c>
    </row>
    <row r="34" spans="1:11" ht="15.75">
      <c r="A34" s="580"/>
      <c r="B34" s="580"/>
      <c r="C34" s="580"/>
      <c r="D34" s="604"/>
      <c r="E34" s="604"/>
      <c r="F34" s="605"/>
      <c r="G34" s="580"/>
      <c r="H34" s="604"/>
      <c r="I34" s="604" t="s">
        <v>115</v>
      </c>
      <c r="J34" s="604"/>
      <c r="K34" s="2"/>
    </row>
    <row r="35" spans="1:11" ht="15.75">
      <c r="A35" s="580"/>
      <c r="B35" s="580"/>
      <c r="C35" s="580"/>
      <c r="D35" s="590"/>
      <c r="E35" s="590"/>
      <c r="F35" s="605"/>
      <c r="G35" s="580"/>
      <c r="H35" s="608" t="s">
        <v>564</v>
      </c>
      <c r="I35" s="604"/>
      <c r="J35" s="604"/>
      <c r="K35" s="604"/>
    </row>
    <row r="36" spans="1:11" ht="15.75">
      <c r="A36" s="580" t="s">
        <v>565</v>
      </c>
      <c r="B36" s="580" t="str">
        <f>"Year 2019"</f>
        <v>Year 2019</v>
      </c>
      <c r="C36" s="580"/>
      <c r="D36" s="590">
        <f>K33</f>
        <v>0</v>
      </c>
      <c r="E36" s="590"/>
      <c r="F36" s="605">
        <f>+F32</f>
        <v>4.0949999999999997E-3</v>
      </c>
      <c r="G36" s="580">
        <v>12</v>
      </c>
      <c r="H36" s="604">
        <f>+G36*F36*D36</f>
        <v>0</v>
      </c>
      <c r="I36" s="604"/>
      <c r="J36" s="604"/>
      <c r="K36" s="607">
        <f>+D36+H36</f>
        <v>0</v>
      </c>
    </row>
    <row r="37" spans="1:11" ht="15.75">
      <c r="A37" s="580"/>
      <c r="B37" s="580"/>
      <c r="C37" s="580"/>
      <c r="D37" s="590"/>
      <c r="E37" s="590"/>
      <c r="F37" s="605"/>
      <c r="G37" s="580"/>
      <c r="H37" s="604"/>
      <c r="I37" s="604"/>
      <c r="J37" s="604"/>
      <c r="K37" s="604"/>
    </row>
    <row r="38" spans="1:11" ht="15.75">
      <c r="A38" s="609" t="s">
        <v>566</v>
      </c>
      <c r="B38" s="580"/>
      <c r="C38" s="580"/>
      <c r="D38" s="604"/>
      <c r="E38" s="604"/>
      <c r="F38" s="605"/>
      <c r="G38" s="580"/>
      <c r="H38" s="608" t="s">
        <v>560</v>
      </c>
      <c r="I38" s="604"/>
      <c r="J38" s="604"/>
      <c r="K38" s="604"/>
    </row>
    <row r="39" spans="1:11" ht="15.75">
      <c r="A39" s="580" t="s">
        <v>186</v>
      </c>
      <c r="B39" s="580" t="str">
        <f>"Year 2020"</f>
        <v>Year 2020</v>
      </c>
      <c r="C39" s="580"/>
      <c r="D39" s="610">
        <f>-K36</f>
        <v>0</v>
      </c>
      <c r="E39" s="590"/>
      <c r="F39" s="605">
        <f>+F32</f>
        <v>4.0949999999999997E-3</v>
      </c>
      <c r="G39" s="580"/>
      <c r="H39" s="604">
        <f xml:space="preserve"> -F39*D39</f>
        <v>0</v>
      </c>
      <c r="I39" s="604">
        <f>PMT(F39,12,K$36)</f>
        <v>0</v>
      </c>
      <c r="J39" s="604"/>
      <c r="K39" s="604">
        <f>(+D39+D39*F39-I39)*-1</f>
        <v>0</v>
      </c>
    </row>
    <row r="40" spans="1:11" ht="15.75">
      <c r="A40" s="580" t="s">
        <v>561</v>
      </c>
      <c r="B40" s="580" t="str">
        <f>+B39</f>
        <v>Year 2020</v>
      </c>
      <c r="C40" s="580"/>
      <c r="D40" s="590">
        <f>-K39</f>
        <v>0</v>
      </c>
      <c r="E40" s="590"/>
      <c r="F40" s="605">
        <f>+F39</f>
        <v>4.0949999999999997E-3</v>
      </c>
      <c r="G40" s="580"/>
      <c r="H40" s="604">
        <f xml:space="preserve"> -F40*D40</f>
        <v>0</v>
      </c>
      <c r="I40" s="604">
        <f>I39</f>
        <v>0</v>
      </c>
      <c r="J40" s="604"/>
      <c r="K40" s="604">
        <f t="shared" ref="K40:K50" si="6">(+D40+D40*F40-I40)*-1</f>
        <v>0</v>
      </c>
    </row>
    <row r="41" spans="1:11" ht="15.75">
      <c r="A41" s="580" t="s">
        <v>187</v>
      </c>
      <c r="B41" s="580" t="str">
        <f>+B40</f>
        <v>Year 2020</v>
      </c>
      <c r="C41" s="580"/>
      <c r="D41" s="590">
        <f t="shared" ref="D41:D50" si="7">-K40</f>
        <v>0</v>
      </c>
      <c r="E41" s="590"/>
      <c r="F41" s="605">
        <f t="shared" ref="F41:F50" si="8">+F40</f>
        <v>4.0949999999999997E-3</v>
      </c>
      <c r="G41" s="580"/>
      <c r="H41" s="604">
        <f t="shared" ref="H41:H50" si="9" xml:space="preserve"> -F41*D41</f>
        <v>0</v>
      </c>
      <c r="I41" s="604">
        <f t="shared" ref="I41:I50" si="10">I40</f>
        <v>0</v>
      </c>
      <c r="J41" s="604"/>
      <c r="K41" s="604">
        <f t="shared" si="6"/>
        <v>0</v>
      </c>
    </row>
    <row r="42" spans="1:11" ht="15.75">
      <c r="A42" s="580" t="s">
        <v>188</v>
      </c>
      <c r="B42" s="580" t="str">
        <f>+B41</f>
        <v>Year 2020</v>
      </c>
      <c r="C42" s="580"/>
      <c r="D42" s="590">
        <f t="shared" si="7"/>
        <v>0</v>
      </c>
      <c r="E42" s="590"/>
      <c r="F42" s="605">
        <f t="shared" si="8"/>
        <v>4.0949999999999997E-3</v>
      </c>
      <c r="G42" s="580"/>
      <c r="H42" s="604">
        <f t="shared" si="9"/>
        <v>0</v>
      </c>
      <c r="I42" s="604">
        <f t="shared" si="10"/>
        <v>0</v>
      </c>
      <c r="J42" s="604"/>
      <c r="K42" s="604">
        <f t="shared" si="6"/>
        <v>0</v>
      </c>
    </row>
    <row r="43" spans="1:11" ht="15.75">
      <c r="A43" s="580" t="s">
        <v>189</v>
      </c>
      <c r="B43" s="580" t="str">
        <f>+B42</f>
        <v>Year 2020</v>
      </c>
      <c r="C43" s="580"/>
      <c r="D43" s="590">
        <f t="shared" si="7"/>
        <v>0</v>
      </c>
      <c r="E43" s="590"/>
      <c r="F43" s="605">
        <f t="shared" si="8"/>
        <v>4.0949999999999997E-3</v>
      </c>
      <c r="G43" s="580"/>
      <c r="H43" s="604">
        <f t="shared" si="9"/>
        <v>0</v>
      </c>
      <c r="I43" s="604">
        <f>I42</f>
        <v>0</v>
      </c>
      <c r="J43" s="604"/>
      <c r="K43" s="604">
        <f t="shared" si="6"/>
        <v>0</v>
      </c>
    </row>
    <row r="44" spans="1:11" ht="15.75">
      <c r="A44" s="580" t="s">
        <v>383</v>
      </c>
      <c r="B44" s="580" t="str">
        <f>B43</f>
        <v>Year 2020</v>
      </c>
      <c r="C44" s="2"/>
      <c r="D44" s="590">
        <f t="shared" si="7"/>
        <v>0</v>
      </c>
      <c r="E44" s="590"/>
      <c r="F44" s="605">
        <f t="shared" si="8"/>
        <v>4.0949999999999997E-3</v>
      </c>
      <c r="G44" s="580"/>
      <c r="H44" s="604">
        <f t="shared" si="9"/>
        <v>0</v>
      </c>
      <c r="I44" s="604">
        <f t="shared" si="10"/>
        <v>0</v>
      </c>
      <c r="J44" s="604"/>
      <c r="K44" s="604">
        <f t="shared" si="6"/>
        <v>0</v>
      </c>
    </row>
    <row r="45" spans="1:11" ht="15.75">
      <c r="A45" s="580" t="s">
        <v>190</v>
      </c>
      <c r="B45" s="580" t="str">
        <f t="shared" ref="B45:B50" si="11">+B44</f>
        <v>Year 2020</v>
      </c>
      <c r="C45" s="580"/>
      <c r="D45" s="590">
        <f t="shared" si="7"/>
        <v>0</v>
      </c>
      <c r="E45" s="590"/>
      <c r="F45" s="605">
        <f t="shared" si="8"/>
        <v>4.0949999999999997E-3</v>
      </c>
      <c r="G45" s="580"/>
      <c r="H45" s="604">
        <f t="shared" si="9"/>
        <v>0</v>
      </c>
      <c r="I45" s="604">
        <f t="shared" si="10"/>
        <v>0</v>
      </c>
      <c r="J45" s="604"/>
      <c r="K45" s="604">
        <f t="shared" si="6"/>
        <v>0</v>
      </c>
    </row>
    <row r="46" spans="1:11" ht="15.75">
      <c r="A46" s="580" t="s">
        <v>191</v>
      </c>
      <c r="B46" s="580" t="str">
        <f t="shared" si="11"/>
        <v>Year 2020</v>
      </c>
      <c r="C46" s="580"/>
      <c r="D46" s="590">
        <f t="shared" si="7"/>
        <v>0</v>
      </c>
      <c r="E46" s="590"/>
      <c r="F46" s="605">
        <f t="shared" si="8"/>
        <v>4.0949999999999997E-3</v>
      </c>
      <c r="G46" s="580"/>
      <c r="H46" s="604">
        <f t="shared" si="9"/>
        <v>0</v>
      </c>
      <c r="I46" s="604">
        <f t="shared" si="10"/>
        <v>0</v>
      </c>
      <c r="J46" s="604"/>
      <c r="K46" s="604">
        <f t="shared" si="6"/>
        <v>0</v>
      </c>
    </row>
    <row r="47" spans="1:11" ht="15.75">
      <c r="A47" s="580" t="s">
        <v>193</v>
      </c>
      <c r="B47" s="580" t="str">
        <f t="shared" si="11"/>
        <v>Year 2020</v>
      </c>
      <c r="C47" s="580"/>
      <c r="D47" s="590">
        <f t="shared" si="7"/>
        <v>0</v>
      </c>
      <c r="E47" s="590"/>
      <c r="F47" s="605">
        <f t="shared" si="8"/>
        <v>4.0949999999999997E-3</v>
      </c>
      <c r="G47" s="580"/>
      <c r="H47" s="604">
        <f t="shared" si="9"/>
        <v>0</v>
      </c>
      <c r="I47" s="604">
        <f>I46</f>
        <v>0</v>
      </c>
      <c r="J47" s="604"/>
      <c r="K47" s="604">
        <f t="shared" si="6"/>
        <v>0</v>
      </c>
    </row>
    <row r="48" spans="1:11" ht="15.75">
      <c r="A48" s="580" t="s">
        <v>562</v>
      </c>
      <c r="B48" s="580" t="str">
        <f t="shared" si="11"/>
        <v>Year 2020</v>
      </c>
      <c r="C48" s="580"/>
      <c r="D48" s="590">
        <f t="shared" si="7"/>
        <v>0</v>
      </c>
      <c r="E48" s="590"/>
      <c r="F48" s="605">
        <f t="shared" si="8"/>
        <v>4.0949999999999997E-3</v>
      </c>
      <c r="G48" s="580"/>
      <c r="H48" s="604">
        <f t="shared" si="9"/>
        <v>0</v>
      </c>
      <c r="I48" s="604">
        <f t="shared" si="10"/>
        <v>0</v>
      </c>
      <c r="J48" s="604"/>
      <c r="K48" s="604">
        <f t="shared" si="6"/>
        <v>0</v>
      </c>
    </row>
    <row r="49" spans="1:11" ht="15.75">
      <c r="A49" s="580" t="s">
        <v>563</v>
      </c>
      <c r="B49" s="580" t="str">
        <f t="shared" si="11"/>
        <v>Year 2020</v>
      </c>
      <c r="C49" s="580"/>
      <c r="D49" s="590">
        <f t="shared" si="7"/>
        <v>0</v>
      </c>
      <c r="E49" s="590"/>
      <c r="F49" s="605">
        <f t="shared" si="8"/>
        <v>4.0949999999999997E-3</v>
      </c>
      <c r="G49" s="580"/>
      <c r="H49" s="604">
        <f t="shared" si="9"/>
        <v>0</v>
      </c>
      <c r="I49" s="604">
        <f t="shared" si="10"/>
        <v>0</v>
      </c>
      <c r="J49" s="604"/>
      <c r="K49" s="604">
        <f t="shared" si="6"/>
        <v>0</v>
      </c>
    </row>
    <row r="50" spans="1:11" ht="15.75">
      <c r="A50" s="580" t="s">
        <v>192</v>
      </c>
      <c r="B50" s="580" t="str">
        <f t="shared" si="11"/>
        <v>Year 2020</v>
      </c>
      <c r="C50" s="580"/>
      <c r="D50" s="590">
        <f t="shared" si="7"/>
        <v>0</v>
      </c>
      <c r="E50" s="590"/>
      <c r="F50" s="605">
        <f t="shared" si="8"/>
        <v>4.0949999999999997E-3</v>
      </c>
      <c r="G50" s="580"/>
      <c r="H50" s="606">
        <f t="shared" si="9"/>
        <v>0</v>
      </c>
      <c r="I50" s="604">
        <f t="shared" si="10"/>
        <v>0</v>
      </c>
      <c r="J50" s="604"/>
      <c r="K50" s="604">
        <f t="shared" si="6"/>
        <v>0</v>
      </c>
    </row>
    <row r="51" spans="1:11" ht="15.75">
      <c r="A51" s="580"/>
      <c r="B51" s="580"/>
      <c r="C51" s="580"/>
      <c r="D51" s="590"/>
      <c r="E51" s="590"/>
      <c r="F51" s="605"/>
      <c r="G51" s="580"/>
      <c r="H51" s="604">
        <f>SUM(H39:H50)</f>
        <v>0</v>
      </c>
      <c r="I51" s="604"/>
      <c r="J51" s="604"/>
      <c r="K51" s="604"/>
    </row>
    <row r="52" spans="1:11" ht="15">
      <c r="A52" s="2"/>
      <c r="B52" s="2"/>
      <c r="C52" s="2"/>
      <c r="D52" s="2"/>
      <c r="E52" s="2"/>
      <c r="F52" s="2"/>
      <c r="G52" s="2"/>
      <c r="H52" s="2"/>
      <c r="I52" s="611"/>
      <c r="J52" s="2"/>
      <c r="K52" s="2"/>
    </row>
    <row r="53" spans="1:11" ht="15.75">
      <c r="A53" s="580" t="s">
        <v>571</v>
      </c>
      <c r="B53" s="2"/>
      <c r="C53" s="2"/>
      <c r="D53" s="2"/>
      <c r="E53" s="2"/>
      <c r="F53" s="2"/>
      <c r="G53" s="2"/>
      <c r="H53" s="2"/>
      <c r="I53" s="612">
        <f>(SUM(I39:I50)*-1)</f>
        <v>0</v>
      </c>
      <c r="J53" s="2"/>
      <c r="K53" s="2"/>
    </row>
    <row r="54" spans="1:11" ht="15.75">
      <c r="A54" s="580" t="s">
        <v>567</v>
      </c>
      <c r="B54" s="2"/>
      <c r="C54" s="2"/>
      <c r="D54" s="2"/>
      <c r="E54" s="2"/>
      <c r="F54" s="2"/>
      <c r="G54" s="2"/>
      <c r="H54" s="2"/>
      <c r="I54" s="613">
        <f>+H10</f>
        <v>0</v>
      </c>
      <c r="J54" s="2"/>
      <c r="K54" s="2"/>
    </row>
    <row r="55" spans="1:11" ht="15.75">
      <c r="A55" s="580" t="s">
        <v>568</v>
      </c>
      <c r="B55" s="2"/>
      <c r="C55" s="2"/>
      <c r="D55" s="2"/>
      <c r="E55" s="2"/>
      <c r="F55" s="2"/>
      <c r="G55" s="2"/>
      <c r="H55" s="2"/>
      <c r="I55" s="612">
        <f>(I53+I54)</f>
        <v>0</v>
      </c>
      <c r="J55" s="2"/>
      <c r="K55" s="2"/>
    </row>
    <row r="56" spans="1:11" ht="21" customHeight="1"/>
    <row r="57" spans="1:11" ht="74.45" customHeight="1">
      <c r="A57" s="1327" t="s">
        <v>572</v>
      </c>
      <c r="B57" s="1327"/>
      <c r="C57" s="1327"/>
      <c r="D57" s="1327"/>
      <c r="E57" s="140"/>
      <c r="F57" s="140"/>
      <c r="G57" s="140"/>
      <c r="H57" s="140"/>
      <c r="I57" s="140"/>
      <c r="J57" s="140"/>
      <c r="K57" s="140"/>
    </row>
  </sheetData>
  <mergeCells count="5">
    <mergeCell ref="A1:K1"/>
    <mergeCell ref="A2:K2"/>
    <mergeCell ref="A3:K3"/>
    <mergeCell ref="D4:G4"/>
    <mergeCell ref="A57:D57"/>
  </mergeCells>
  <pageMargins left="0.7" right="0.7" top="0.75" bottom="0.75" header="0.3" footer="0.3"/>
  <pageSetup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W189"/>
  <sheetViews>
    <sheetView tabSelected="1" view="pageBreakPreview" topLeftCell="C122" zoomScale="85" zoomScaleNormal="50" zoomScaleSheetLayoutView="85" workbookViewId="0">
      <selection activeCell="D9" sqref="D9"/>
    </sheetView>
  </sheetViews>
  <sheetFormatPr defaultRowHeight="12.75"/>
  <cols>
    <col min="1" max="1" width="7.5703125" style="1" bestFit="1" customWidth="1"/>
    <col min="2" max="2" width="57.5703125" bestFit="1" customWidth="1"/>
    <col min="3" max="4" width="14.85546875" customWidth="1"/>
    <col min="5" max="6" width="14.42578125" customWidth="1"/>
    <col min="7" max="7" width="15.42578125" bestFit="1" customWidth="1"/>
    <col min="8" max="8" width="3.42578125" customWidth="1"/>
    <col min="9" max="9" width="13.140625" bestFit="1" customWidth="1"/>
    <col min="10" max="10" width="15" bestFit="1" customWidth="1"/>
    <col min="11" max="11" width="13.5703125" bestFit="1" customWidth="1"/>
    <col min="12" max="12" width="3.140625" customWidth="1"/>
    <col min="13" max="13" width="13.140625" bestFit="1" customWidth="1"/>
    <col min="14" max="14" width="13.140625" customWidth="1"/>
    <col min="15" max="15" width="15" bestFit="1" customWidth="1"/>
    <col min="16" max="16" width="13.5703125" bestFit="1" customWidth="1"/>
    <col min="17" max="17" width="13.5703125" customWidth="1"/>
    <col min="18" max="18" width="3.140625" customWidth="1"/>
    <col min="19" max="19" width="13.140625" bestFit="1" customWidth="1"/>
    <col min="20" max="20" width="13.140625" customWidth="1"/>
    <col min="21" max="21" width="15" bestFit="1" customWidth="1"/>
    <col min="22" max="22" width="13.5703125" bestFit="1" customWidth="1"/>
    <col min="23" max="23" width="13.5703125" customWidth="1"/>
  </cols>
  <sheetData>
    <row r="1" spans="1:23">
      <c r="A1" s="793"/>
      <c r="B1" s="832" t="str">
        <f>TCOS!F9</f>
        <v xml:space="preserve">Indiana Michigan Power Company </v>
      </c>
      <c r="C1" s="781"/>
      <c r="D1" s="781"/>
      <c r="E1" s="781"/>
      <c r="F1" s="781"/>
      <c r="M1" s="781"/>
      <c r="N1" s="781"/>
      <c r="O1" s="781"/>
      <c r="P1" s="781"/>
      <c r="Q1" s="781"/>
      <c r="R1" s="781"/>
      <c r="S1" s="781"/>
      <c r="T1" s="781"/>
      <c r="U1" s="781"/>
    </row>
    <row r="2" spans="1:23">
      <c r="A2" s="793"/>
      <c r="B2" s="175" t="s">
        <v>812</v>
      </c>
      <c r="C2" s="781"/>
      <c r="D2" s="781"/>
      <c r="E2" s="781"/>
      <c r="F2" s="781"/>
      <c r="M2" s="781"/>
      <c r="N2" s="781"/>
      <c r="O2" s="781"/>
      <c r="P2" s="781"/>
      <c r="Q2" s="781"/>
      <c r="R2" s="781"/>
      <c r="S2" s="781"/>
      <c r="T2" s="781"/>
      <c r="U2" s="781"/>
    </row>
    <row r="3" spans="1:23">
      <c r="A3" s="793"/>
      <c r="B3" s="805" t="str">
        <f>"PERIOD ENDED DECEMBER 31, "&amp;TCOS!L4</f>
        <v>PERIOD ENDED DECEMBER 31, 2025</v>
      </c>
      <c r="C3" s="781"/>
      <c r="D3" s="781"/>
      <c r="E3" s="781"/>
      <c r="F3" s="781"/>
      <c r="G3" s="781"/>
      <c r="H3" s="781"/>
      <c r="I3" s="781"/>
      <c r="J3" s="781"/>
      <c r="K3" s="781"/>
      <c r="L3" s="781"/>
      <c r="M3" s="781"/>
      <c r="N3" s="781"/>
      <c r="O3" s="781"/>
      <c r="P3" s="781"/>
      <c r="Q3" s="781"/>
      <c r="R3" s="781"/>
      <c r="S3" s="781"/>
      <c r="T3" s="781"/>
      <c r="U3" s="781"/>
      <c r="V3" s="781"/>
      <c r="W3" s="781"/>
    </row>
    <row r="4" spans="1:23">
      <c r="A4" s="793"/>
      <c r="B4" s="781"/>
      <c r="C4" s="781"/>
      <c r="D4" s="781"/>
      <c r="E4" s="781"/>
      <c r="F4" s="781"/>
      <c r="G4" s="1" t="s">
        <v>691</v>
      </c>
      <c r="H4" s="1"/>
      <c r="I4" s="1"/>
      <c r="J4" s="1"/>
      <c r="K4" s="1"/>
      <c r="L4" s="1"/>
      <c r="M4" s="781"/>
      <c r="N4" s="781"/>
      <c r="O4" s="781"/>
      <c r="P4" s="781"/>
      <c r="Q4" s="781"/>
      <c r="R4" s="781"/>
      <c r="S4" s="781"/>
      <c r="T4" s="781"/>
      <c r="U4" s="781"/>
      <c r="V4" s="781"/>
      <c r="W4" s="781"/>
    </row>
    <row r="5" spans="1:23">
      <c r="A5" s="793"/>
      <c r="B5" s="781"/>
      <c r="C5" s="781"/>
      <c r="D5" s="781"/>
      <c r="E5" s="781"/>
      <c r="F5" s="781"/>
      <c r="G5" s="781"/>
      <c r="H5" s="781"/>
      <c r="I5" s="781"/>
      <c r="J5" s="781"/>
      <c r="K5" s="781"/>
      <c r="L5" s="781"/>
      <c r="M5" s="781"/>
      <c r="N5" s="781"/>
      <c r="O5" s="781"/>
      <c r="P5" s="781"/>
      <c r="Q5" s="781"/>
      <c r="R5" s="781"/>
      <c r="S5" s="781"/>
      <c r="T5" s="781"/>
      <c r="U5" s="781"/>
      <c r="V5" s="781"/>
      <c r="W5" s="781"/>
    </row>
    <row r="6" spans="1:23">
      <c r="A6" s="793"/>
      <c r="B6" s="781"/>
      <c r="C6" s="781"/>
      <c r="D6" s="781"/>
      <c r="E6" s="781"/>
      <c r="F6" s="781"/>
      <c r="G6" s="781"/>
      <c r="H6" s="781"/>
      <c r="I6" s="781"/>
      <c r="J6" s="781"/>
      <c r="K6" s="781"/>
      <c r="L6" s="781"/>
      <c r="M6" s="781"/>
      <c r="N6" s="781"/>
      <c r="O6" s="781"/>
      <c r="P6" s="781"/>
      <c r="Q6" s="781"/>
      <c r="R6" s="781"/>
      <c r="S6" s="781"/>
      <c r="T6" s="781"/>
      <c r="U6" s="781"/>
      <c r="V6" s="781"/>
      <c r="W6" s="781"/>
    </row>
    <row r="7" spans="1:23">
      <c r="A7" s="793"/>
      <c r="B7" s="781"/>
      <c r="C7" s="781"/>
      <c r="D7" s="781"/>
      <c r="E7" s="781"/>
      <c r="F7" s="781"/>
      <c r="G7" s="781"/>
      <c r="H7" s="781"/>
      <c r="I7" s="781"/>
      <c r="J7" s="781"/>
      <c r="K7" s="781"/>
      <c r="L7" s="781"/>
      <c r="M7" s="781"/>
      <c r="N7" s="781"/>
      <c r="O7" s="781"/>
      <c r="P7" s="781"/>
      <c r="Q7" s="781"/>
      <c r="R7" s="781"/>
      <c r="S7" s="781"/>
      <c r="T7" s="781"/>
      <c r="U7" s="781"/>
      <c r="V7" s="781"/>
      <c r="W7" s="781"/>
    </row>
    <row r="8" spans="1:23">
      <c r="A8" s="793"/>
      <c r="B8" s="782" t="s">
        <v>692</v>
      </c>
      <c r="C8" s="782" t="s">
        <v>693</v>
      </c>
      <c r="D8" s="782" t="s">
        <v>694</v>
      </c>
      <c r="E8" s="782" t="s">
        <v>695</v>
      </c>
      <c r="F8" s="782" t="s">
        <v>696</v>
      </c>
      <c r="G8" s="782" t="s">
        <v>697</v>
      </c>
      <c r="H8" s="782"/>
      <c r="I8" s="782" t="s">
        <v>698</v>
      </c>
      <c r="J8" s="782" t="s">
        <v>699</v>
      </c>
      <c r="K8" s="782" t="s">
        <v>700</v>
      </c>
      <c r="L8" s="782"/>
      <c r="M8" s="782" t="s">
        <v>701</v>
      </c>
      <c r="N8" s="782" t="s">
        <v>702</v>
      </c>
      <c r="O8" s="782" t="s">
        <v>703</v>
      </c>
      <c r="P8" s="782" t="s">
        <v>704</v>
      </c>
      <c r="Q8" s="782" t="s">
        <v>705</v>
      </c>
      <c r="R8" s="781"/>
      <c r="S8" s="782" t="s">
        <v>706</v>
      </c>
      <c r="T8" s="782" t="s">
        <v>976</v>
      </c>
      <c r="U8" s="782" t="s">
        <v>977</v>
      </c>
      <c r="V8" s="782" t="s">
        <v>978</v>
      </c>
      <c r="W8" s="782" t="s">
        <v>979</v>
      </c>
    </row>
    <row r="9" spans="1:23">
      <c r="A9" s="793"/>
      <c r="B9" s="781"/>
      <c r="C9" s="781"/>
      <c r="D9" s="781"/>
      <c r="E9" s="781"/>
      <c r="F9" s="781"/>
      <c r="G9" s="781"/>
      <c r="H9" s="781"/>
      <c r="I9" s="781"/>
      <c r="J9" s="781"/>
      <c r="K9" s="781"/>
      <c r="L9" s="781"/>
      <c r="M9" s="781"/>
      <c r="N9" s="781"/>
      <c r="O9" s="781"/>
      <c r="P9" s="781"/>
      <c r="Q9" s="781"/>
      <c r="R9" s="781"/>
      <c r="S9" s="781"/>
      <c r="T9" s="781"/>
      <c r="U9" s="781"/>
      <c r="V9" s="781"/>
      <c r="W9" s="781"/>
    </row>
    <row r="10" spans="1:23">
      <c r="A10" s="793"/>
      <c r="B10" s="781"/>
      <c r="C10" s="783" t="s">
        <v>707</v>
      </c>
      <c r="D10" s="783"/>
      <c r="E10" s="784" t="s">
        <v>708</v>
      </c>
      <c r="F10" s="783"/>
      <c r="G10" s="1" t="s">
        <v>709</v>
      </c>
      <c r="H10" s="1"/>
      <c r="I10" s="783" t="s">
        <v>710</v>
      </c>
      <c r="J10" s="783"/>
      <c r="K10" s="783"/>
      <c r="L10" s="1"/>
      <c r="M10" s="783" t="str">
        <f>"FUNCTIONALIZATION 12/31/"&amp;TCOS!L4-1</f>
        <v>FUNCTIONALIZATION 12/31/2024</v>
      </c>
      <c r="N10" s="783"/>
      <c r="O10" s="783"/>
      <c r="P10" s="783"/>
      <c r="Q10" s="783"/>
      <c r="R10" s="781"/>
      <c r="S10" s="783" t="str">
        <f>"FUNCTIONALIZATION 12/31/"&amp;TCOS!L4</f>
        <v>FUNCTIONALIZATION 12/31/2025</v>
      </c>
      <c r="T10" s="783"/>
      <c r="U10" s="783"/>
      <c r="V10" s="783"/>
      <c r="W10" s="783"/>
    </row>
    <row r="11" spans="1:23">
      <c r="A11" s="793"/>
      <c r="B11" s="781"/>
      <c r="C11" s="785"/>
      <c r="D11" s="785"/>
      <c r="E11" s="781"/>
      <c r="F11" s="781"/>
      <c r="G11" s="1" t="s">
        <v>711</v>
      </c>
      <c r="H11" s="1"/>
      <c r="I11" s="785"/>
      <c r="J11" s="785"/>
      <c r="K11" s="785"/>
      <c r="L11" s="1"/>
      <c r="M11" s="785"/>
      <c r="N11" s="785"/>
      <c r="O11" s="785"/>
      <c r="P11" s="785"/>
      <c r="Q11" s="781"/>
      <c r="R11" s="781"/>
      <c r="S11" s="785"/>
      <c r="T11" s="785"/>
      <c r="U11" s="785"/>
      <c r="V11" s="785"/>
      <c r="W11" s="781"/>
    </row>
    <row r="12" spans="1:23">
      <c r="A12" s="793"/>
      <c r="B12" s="781"/>
      <c r="C12" s="1" t="s">
        <v>712</v>
      </c>
      <c r="D12" s="1" t="s">
        <v>712</v>
      </c>
      <c r="E12" s="1" t="s">
        <v>712</v>
      </c>
      <c r="F12" s="1" t="s">
        <v>712</v>
      </c>
      <c r="G12" s="1" t="s">
        <v>713</v>
      </c>
      <c r="H12" s="1"/>
      <c r="I12" s="781"/>
      <c r="J12" s="781"/>
      <c r="K12" s="781"/>
      <c r="L12" s="1"/>
      <c r="M12" s="781"/>
      <c r="N12" s="781"/>
      <c r="O12" s="781"/>
      <c r="P12" s="781"/>
      <c r="Q12" s="781"/>
      <c r="R12" s="781"/>
      <c r="S12" s="781"/>
      <c r="T12" s="781"/>
      <c r="U12" s="781"/>
      <c r="V12" s="781"/>
      <c r="W12" s="781"/>
    </row>
    <row r="13" spans="1:23">
      <c r="A13" s="793"/>
      <c r="B13" s="782" t="s">
        <v>714</v>
      </c>
      <c r="C13" s="782" t="str">
        <f>"OF 12-31-"&amp;TCOS!L4-1</f>
        <v>OF 12-31-2024</v>
      </c>
      <c r="D13" s="782" t="str">
        <f>"OF 12-31-"&amp;TCOS!L4</f>
        <v>OF 12-31-2025</v>
      </c>
      <c r="E13" s="782" t="str">
        <f>"OF 12-31-"&amp;TCOS!L4-1</f>
        <v>OF 12-31-2024</v>
      </c>
      <c r="F13" s="782" t="str">
        <f>"OF 12-31-"&amp;TCOS!L4</f>
        <v>OF 12-31-2025</v>
      </c>
      <c r="G13" s="782" t="s">
        <v>715</v>
      </c>
      <c r="H13" s="782"/>
      <c r="I13" s="782" t="s">
        <v>716</v>
      </c>
      <c r="J13" s="782" t="s">
        <v>717</v>
      </c>
      <c r="K13" s="782" t="s">
        <v>718</v>
      </c>
      <c r="L13" s="782"/>
      <c r="M13" s="782" t="s">
        <v>716</v>
      </c>
      <c r="N13" s="782" t="s">
        <v>963</v>
      </c>
      <c r="O13" s="782" t="s">
        <v>717</v>
      </c>
      <c r="P13" s="782" t="s">
        <v>718</v>
      </c>
      <c r="Q13" s="782" t="s">
        <v>964</v>
      </c>
      <c r="R13" s="781"/>
      <c r="S13" s="782" t="s">
        <v>716</v>
      </c>
      <c r="T13" s="782" t="s">
        <v>963</v>
      </c>
      <c r="U13" s="782" t="s">
        <v>717</v>
      </c>
      <c r="V13" s="782" t="s">
        <v>718</v>
      </c>
      <c r="W13" s="782" t="s">
        <v>964</v>
      </c>
    </row>
    <row r="14" spans="1:23">
      <c r="A14" s="793"/>
      <c r="B14" s="781"/>
      <c r="C14" s="781"/>
      <c r="D14" s="781"/>
      <c r="E14" s="781"/>
      <c r="F14" s="781"/>
      <c r="G14" s="781"/>
      <c r="H14" s="781"/>
      <c r="I14" s="781"/>
      <c r="J14" s="781"/>
      <c r="K14" s="781"/>
      <c r="L14" s="781"/>
      <c r="M14" s="781"/>
      <c r="N14" s="781"/>
      <c r="O14" s="781"/>
      <c r="P14" s="781"/>
      <c r="Q14" s="781"/>
      <c r="R14" s="781"/>
      <c r="S14" s="781"/>
      <c r="T14" s="781"/>
      <c r="U14" s="781"/>
      <c r="V14" s="781"/>
      <c r="W14" s="781"/>
    </row>
    <row r="15" spans="1:23">
      <c r="A15" s="804">
        <v>1</v>
      </c>
      <c r="B15" s="624" t="s">
        <v>719</v>
      </c>
      <c r="C15" s="787"/>
      <c r="D15" s="787"/>
      <c r="E15" s="787"/>
      <c r="F15" s="788"/>
      <c r="G15" s="787"/>
      <c r="H15" s="787"/>
      <c r="I15" s="787"/>
      <c r="J15" s="787"/>
      <c r="K15" s="787"/>
      <c r="L15" s="787"/>
      <c r="M15" s="787"/>
      <c r="N15" s="787"/>
      <c r="O15" s="787"/>
      <c r="P15" s="787"/>
      <c r="Q15" s="787"/>
      <c r="R15" s="787"/>
      <c r="S15" s="787"/>
      <c r="T15" s="787"/>
      <c r="U15" s="787"/>
      <c r="V15" s="787"/>
      <c r="W15" s="787"/>
    </row>
    <row r="16" spans="1:23">
      <c r="A16" s="804">
        <v>2.0099999999999998</v>
      </c>
      <c r="B16" s="624"/>
      <c r="C16" s="787"/>
      <c r="D16" s="787"/>
      <c r="E16" s="787"/>
      <c r="F16" s="787"/>
      <c r="G16" s="787"/>
      <c r="H16" s="787"/>
      <c r="I16" s="787"/>
      <c r="J16" s="787"/>
      <c r="K16" s="787"/>
      <c r="L16" s="787"/>
      <c r="M16" s="787"/>
      <c r="N16" s="787"/>
      <c r="O16" s="787"/>
      <c r="P16" s="787"/>
      <c r="Q16" s="787"/>
      <c r="R16" s="787"/>
      <c r="S16" s="787"/>
      <c r="T16" s="787"/>
      <c r="U16" s="787"/>
      <c r="V16" s="787"/>
      <c r="W16" s="787"/>
    </row>
    <row r="17" spans="1:23">
      <c r="A17" s="804">
        <v>2.02</v>
      </c>
      <c r="B17" s="624" t="s">
        <v>957</v>
      </c>
      <c r="C17" s="787">
        <f>SUM(M17:P17)</f>
        <v>13897935.57</v>
      </c>
      <c r="D17" s="787">
        <f>SUM(S17:V17)</f>
        <v>8900731.3999999985</v>
      </c>
      <c r="E17" s="787"/>
      <c r="F17" s="787"/>
      <c r="G17" s="787">
        <f>ROUND(SUM(C17:F17)/2,0)</f>
        <v>11399333</v>
      </c>
      <c r="H17" s="787"/>
      <c r="I17" s="787">
        <f>(M17+S17)/2</f>
        <v>11399333.484999999</v>
      </c>
      <c r="J17" s="787">
        <f>(O17+U17)/2</f>
        <v>0</v>
      </c>
      <c r="K17" s="787">
        <f>(P17+V17)/2</f>
        <v>0</v>
      </c>
      <c r="L17" s="787"/>
      <c r="M17" s="624">
        <v>13897935.57</v>
      </c>
      <c r="N17" s="624">
        <v>0</v>
      </c>
      <c r="O17" s="624">
        <v>0</v>
      </c>
      <c r="P17" s="624">
        <v>0</v>
      </c>
      <c r="Q17" s="624">
        <v>0</v>
      </c>
      <c r="R17" s="787"/>
      <c r="S17" s="624">
        <v>8900731.3999999985</v>
      </c>
      <c r="T17" s="624"/>
      <c r="U17" s="624"/>
      <c r="V17" s="624"/>
      <c r="W17" s="624"/>
    </row>
    <row r="18" spans="1:23">
      <c r="A18" s="804">
        <v>2.0299999999999998</v>
      </c>
      <c r="B18" s="624"/>
      <c r="C18" s="787"/>
      <c r="D18" s="787"/>
      <c r="E18" s="787"/>
      <c r="F18" s="787"/>
      <c r="G18" s="787"/>
      <c r="H18" s="787"/>
      <c r="I18" s="787"/>
      <c r="J18" s="787"/>
      <c r="K18" s="787"/>
      <c r="L18" s="787"/>
      <c r="M18" s="787"/>
      <c r="N18" s="787"/>
      <c r="O18" s="787"/>
      <c r="P18" s="787"/>
      <c r="Q18" s="787"/>
      <c r="R18" s="787"/>
      <c r="S18" s="787"/>
      <c r="T18" s="787"/>
      <c r="U18" s="787"/>
      <c r="V18" s="787"/>
      <c r="W18" s="787"/>
    </row>
    <row r="19" spans="1:23">
      <c r="A19" s="804">
        <v>2.04</v>
      </c>
      <c r="B19" s="624" t="s">
        <v>958</v>
      </c>
      <c r="C19" s="787">
        <v>0</v>
      </c>
      <c r="D19" s="787">
        <v>0</v>
      </c>
      <c r="E19" s="787">
        <f t="shared" ref="E19:F20" si="0">-C19</f>
        <v>0</v>
      </c>
      <c r="F19" s="787">
        <f t="shared" si="0"/>
        <v>0</v>
      </c>
      <c r="G19" s="787">
        <f>ROUND(SUM(C19:F19)/2,0)</f>
        <v>0</v>
      </c>
      <c r="H19" s="787"/>
      <c r="I19" s="787"/>
      <c r="J19" s="787"/>
      <c r="K19" s="787"/>
      <c r="L19" s="787"/>
      <c r="M19" s="787"/>
      <c r="N19" s="787"/>
      <c r="O19" s="787"/>
      <c r="P19" s="787"/>
      <c r="Q19" s="787"/>
      <c r="R19" s="787"/>
      <c r="S19" s="787"/>
      <c r="T19" s="787"/>
      <c r="U19" s="787"/>
      <c r="V19" s="787"/>
      <c r="W19" s="787"/>
    </row>
    <row r="20" spans="1:23">
      <c r="A20" s="804">
        <v>2.0499999999999998</v>
      </c>
      <c r="B20" s="624" t="s">
        <v>959</v>
      </c>
      <c r="C20" s="787">
        <v>0</v>
      </c>
      <c r="D20" s="787">
        <v>0</v>
      </c>
      <c r="E20" s="787">
        <f t="shared" si="0"/>
        <v>0</v>
      </c>
      <c r="F20" s="787">
        <f t="shared" si="0"/>
        <v>0</v>
      </c>
      <c r="G20" s="787">
        <f>ROUND(SUM(C20:F20)/2,0)</f>
        <v>0</v>
      </c>
      <c r="H20" s="787"/>
      <c r="I20" s="787"/>
      <c r="J20" s="787"/>
      <c r="K20" s="787"/>
      <c r="L20" s="787"/>
      <c r="M20" s="787"/>
      <c r="N20" s="787"/>
      <c r="O20" s="787"/>
      <c r="P20" s="787"/>
      <c r="Q20" s="787"/>
      <c r="R20" s="787"/>
      <c r="S20" s="787"/>
      <c r="T20" s="787"/>
      <c r="U20" s="787"/>
      <c r="V20" s="787"/>
      <c r="W20" s="787"/>
    </row>
    <row r="21" spans="1:23">
      <c r="A21" s="804">
        <v>2.06</v>
      </c>
      <c r="B21" s="624" t="s">
        <v>960</v>
      </c>
      <c r="C21" s="787">
        <f>-E21</f>
        <v>-4855569.72</v>
      </c>
      <c r="D21" s="787">
        <f>-F21</f>
        <v>-3718584.7199999997</v>
      </c>
      <c r="E21" s="787">
        <v>4855569.72</v>
      </c>
      <c r="F21" s="787">
        <v>3718584.7199999997</v>
      </c>
      <c r="G21" s="787">
        <f>ROUND(SUM(C21:F21)/2,0)</f>
        <v>0</v>
      </c>
      <c r="H21" s="787"/>
      <c r="I21" s="787"/>
      <c r="J21" s="787"/>
      <c r="K21" s="787"/>
      <c r="L21" s="787"/>
      <c r="M21" s="787"/>
      <c r="N21" s="787"/>
      <c r="O21" s="787"/>
      <c r="P21" s="787"/>
      <c r="Q21" s="787"/>
      <c r="R21" s="787"/>
      <c r="S21" s="787"/>
      <c r="T21" s="787"/>
      <c r="U21" s="787"/>
      <c r="V21" s="787"/>
      <c r="W21" s="787"/>
    </row>
    <row r="22" spans="1:23">
      <c r="A22" s="800"/>
      <c r="B22" s="781"/>
      <c r="C22" s="787"/>
      <c r="D22" s="787"/>
      <c r="E22" s="787"/>
      <c r="F22" s="787"/>
      <c r="G22" s="787"/>
      <c r="H22" s="787"/>
      <c r="I22" s="787"/>
      <c r="J22" s="787"/>
      <c r="K22" s="787"/>
      <c r="L22" s="787"/>
      <c r="M22" s="787"/>
      <c r="N22" s="787"/>
      <c r="O22" s="787"/>
      <c r="P22" s="787"/>
      <c r="Q22" s="787"/>
      <c r="R22" s="787"/>
      <c r="S22" s="787"/>
      <c r="T22" s="787"/>
      <c r="U22" s="787"/>
      <c r="V22" s="787"/>
      <c r="W22" s="787"/>
    </row>
    <row r="23" spans="1:23" ht="13.5" thickBot="1">
      <c r="A23" s="794">
        <v>3</v>
      </c>
      <c r="B23" t="s">
        <v>720</v>
      </c>
      <c r="C23" s="789">
        <f>SUM(C17:C22)</f>
        <v>9042365.8500000015</v>
      </c>
      <c r="D23" s="789">
        <f>SUM(D17:D22)</f>
        <v>5182146.6799999988</v>
      </c>
      <c r="E23" s="789">
        <f>SUM(E17:E22)</f>
        <v>4855569.72</v>
      </c>
      <c r="F23" s="789">
        <f>SUM(F17:F22)</f>
        <v>3718584.7199999997</v>
      </c>
      <c r="G23" s="789">
        <f>SUM(G17:G22)</f>
        <v>11399333</v>
      </c>
      <c r="H23" s="787"/>
      <c r="I23" s="789">
        <f>SUM(I17:I22)</f>
        <v>11399333.484999999</v>
      </c>
      <c r="J23" s="789">
        <f>SUM(J17:J22)</f>
        <v>0</v>
      </c>
      <c r="K23" s="789">
        <f>SUM(K17:K22)</f>
        <v>0</v>
      </c>
      <c r="L23" s="787"/>
      <c r="M23" s="789">
        <f>SUM(M17:M22)</f>
        <v>13897935.57</v>
      </c>
      <c r="N23" s="789">
        <f>SUM(N17:N22)</f>
        <v>0</v>
      </c>
      <c r="O23" s="789">
        <f>SUM(O17:O22)</f>
        <v>0</v>
      </c>
      <c r="P23" s="789">
        <f>SUM(P17:P22)</f>
        <v>0</v>
      </c>
      <c r="Q23" s="789">
        <f>SUM(Q17:Q22)</f>
        <v>0</v>
      </c>
      <c r="R23" s="787"/>
      <c r="S23" s="789">
        <f>SUM(S17:S22)</f>
        <v>8900731.3999999985</v>
      </c>
      <c r="T23" s="789">
        <f>SUM(T17:T22)</f>
        <v>0</v>
      </c>
      <c r="U23" s="789">
        <f>SUM(U17:U22)</f>
        <v>0</v>
      </c>
      <c r="V23" s="789">
        <f>SUM(V17:V22)</f>
        <v>0</v>
      </c>
      <c r="W23" s="789">
        <f>SUM(W17:W22)</f>
        <v>0</v>
      </c>
    </row>
    <row r="24" spans="1:23" ht="13.5" thickTop="1">
      <c r="A24" s="794">
        <f>A23+1</f>
        <v>4</v>
      </c>
      <c r="B24" s="20" t="s">
        <v>738</v>
      </c>
      <c r="C24" s="797">
        <v>0</v>
      </c>
      <c r="D24" s="797">
        <v>0</v>
      </c>
      <c r="E24" s="797">
        <v>0</v>
      </c>
      <c r="F24" s="797">
        <v>0</v>
      </c>
      <c r="G24" s="797">
        <v>0</v>
      </c>
      <c r="H24" s="798"/>
      <c r="I24" s="797">
        <v>0</v>
      </c>
      <c r="J24" s="797">
        <v>0</v>
      </c>
      <c r="K24" s="797">
        <v>0</v>
      </c>
      <c r="L24" s="798"/>
      <c r="M24" s="797">
        <v>0</v>
      </c>
      <c r="N24" s="797">
        <v>0</v>
      </c>
      <c r="O24" s="797">
        <v>0</v>
      </c>
      <c r="P24" s="797">
        <v>0</v>
      </c>
      <c r="Q24" s="797">
        <v>0</v>
      </c>
      <c r="R24" s="798"/>
      <c r="S24" s="797">
        <v>0</v>
      </c>
      <c r="T24" s="797">
        <v>0</v>
      </c>
      <c r="U24" s="797">
        <v>0</v>
      </c>
      <c r="V24" s="797">
        <v>0</v>
      </c>
      <c r="W24" s="797">
        <v>0</v>
      </c>
    </row>
    <row r="25" spans="1:23">
      <c r="A25" s="794"/>
      <c r="B25" s="781"/>
      <c r="C25" s="787"/>
      <c r="D25" s="787"/>
      <c r="E25" s="787"/>
      <c r="F25" s="787"/>
      <c r="G25" s="787"/>
      <c r="H25" s="787"/>
      <c r="I25" s="787"/>
      <c r="J25" s="787"/>
      <c r="K25" s="787"/>
      <c r="L25" s="787"/>
      <c r="M25" s="787"/>
      <c r="N25" s="787"/>
      <c r="O25" s="787"/>
      <c r="P25" s="787"/>
      <c r="Q25" s="787"/>
      <c r="R25" s="787"/>
      <c r="S25" s="787"/>
      <c r="T25" s="787"/>
      <c r="U25" s="787"/>
      <c r="V25" s="787"/>
      <c r="W25" s="787"/>
    </row>
    <row r="26" spans="1:23">
      <c r="A26" s="794">
        <v>5</v>
      </c>
      <c r="B26" t="s">
        <v>721</v>
      </c>
      <c r="C26" s="787"/>
      <c r="D26" s="787"/>
      <c r="E26" s="787"/>
      <c r="F26" s="787"/>
      <c r="G26" s="787"/>
      <c r="H26" s="787"/>
      <c r="I26" s="787"/>
      <c r="J26" s="787"/>
      <c r="K26" s="787"/>
      <c r="L26" s="787"/>
      <c r="M26" s="787"/>
      <c r="N26" s="787"/>
      <c r="O26" s="787"/>
      <c r="P26" s="787"/>
      <c r="Q26" s="787"/>
      <c r="R26" s="787"/>
      <c r="S26" s="787"/>
      <c r="T26" s="787"/>
      <c r="U26" s="787"/>
      <c r="V26" s="787"/>
      <c r="W26" s="787"/>
    </row>
    <row r="27" spans="1:23">
      <c r="A27" s="801"/>
      <c r="B27" s="781"/>
      <c r="C27" s="787"/>
      <c r="D27" s="787"/>
      <c r="E27" s="787"/>
      <c r="F27" s="787"/>
      <c r="G27" s="787"/>
      <c r="H27" s="787"/>
      <c r="I27" s="787"/>
      <c r="J27" s="787"/>
      <c r="K27" s="787"/>
      <c r="L27" s="787"/>
      <c r="M27" s="787"/>
      <c r="N27" s="787"/>
      <c r="O27" s="787"/>
      <c r="P27" s="787"/>
      <c r="Q27" s="787"/>
      <c r="R27" s="787"/>
      <c r="S27" s="787"/>
      <c r="T27" s="787"/>
      <c r="U27" s="787"/>
      <c r="V27" s="787"/>
      <c r="W27" s="787"/>
    </row>
    <row r="28" spans="1:23">
      <c r="A28" s="804">
        <f>5+0.01</f>
        <v>5.01</v>
      </c>
      <c r="B28" s="624" t="s">
        <v>1261</v>
      </c>
      <c r="C28" s="787">
        <f t="shared" ref="C28:C58" si="1">SUM(M28:P28)</f>
        <v>7393877</v>
      </c>
      <c r="D28" s="787">
        <f t="shared" ref="D28:D58" si="2">SUM(S28:V28)</f>
        <v>7013699</v>
      </c>
      <c r="E28" s="787"/>
      <c r="F28" s="787"/>
      <c r="G28" s="787">
        <f t="shared" ref="G28:G58" si="3">ROUND(SUM(C28:F28)/2,0)</f>
        <v>7203788</v>
      </c>
      <c r="H28" s="787"/>
      <c r="I28" s="787">
        <f t="shared" ref="I28:I58" si="4">(M28+S28)/2</f>
        <v>-9102243.5</v>
      </c>
      <c r="J28" s="787">
        <f t="shared" ref="J28:J58" si="5">(O28+U28)/2</f>
        <v>2585411.5</v>
      </c>
      <c r="K28" s="787">
        <f t="shared" ref="K28:K58" si="6">(P28+V28)/2</f>
        <v>-69683</v>
      </c>
      <c r="L28" s="787"/>
      <c r="M28" s="624">
        <v>-9342428</v>
      </c>
      <c r="N28" s="624">
        <v>14154193</v>
      </c>
      <c r="O28" s="624">
        <v>2653634</v>
      </c>
      <c r="P28" s="624">
        <v>-71522</v>
      </c>
      <c r="Q28" s="624"/>
      <c r="R28" s="787"/>
      <c r="S28" s="624">
        <v>-8862059</v>
      </c>
      <c r="T28" s="624">
        <v>13426413</v>
      </c>
      <c r="U28" s="624">
        <v>2517189</v>
      </c>
      <c r="V28" s="624">
        <v>-67844</v>
      </c>
      <c r="W28" s="624"/>
    </row>
    <row r="29" spans="1:23">
      <c r="A29" s="804">
        <f t="shared" ref="A29:A65" si="7">A28+0.01</f>
        <v>5.0199999999999996</v>
      </c>
      <c r="B29" s="624" t="s">
        <v>1262</v>
      </c>
      <c r="C29" s="787">
        <f t="shared" si="1"/>
        <v>197192521.74000001</v>
      </c>
      <c r="D29" s="787">
        <f t="shared" si="2"/>
        <v>244400097.74000001</v>
      </c>
      <c r="E29" s="787"/>
      <c r="F29" s="787"/>
      <c r="G29" s="787">
        <f t="shared" si="3"/>
        <v>220796310</v>
      </c>
      <c r="H29" s="787"/>
      <c r="I29" s="787">
        <f t="shared" si="4"/>
        <v>6452565.6600000001</v>
      </c>
      <c r="J29" s="787">
        <f t="shared" si="5"/>
        <v>57441913.270000003</v>
      </c>
      <c r="K29" s="787">
        <f t="shared" si="6"/>
        <v>61808743.109999999</v>
      </c>
      <c r="L29" s="787"/>
      <c r="M29" s="624">
        <v>5651265.1600000001</v>
      </c>
      <c r="N29" s="624">
        <v>82424778.700000003</v>
      </c>
      <c r="O29" s="624">
        <v>58003202.270000003</v>
      </c>
      <c r="P29" s="624">
        <v>51113275.609999999</v>
      </c>
      <c r="Q29" s="624"/>
      <c r="R29" s="787"/>
      <c r="S29" s="624">
        <v>7253866.1600000001</v>
      </c>
      <c r="T29" s="624">
        <v>107761396.7</v>
      </c>
      <c r="U29" s="624">
        <v>56880624.270000003</v>
      </c>
      <c r="V29" s="624">
        <v>72504210.609999999</v>
      </c>
      <c r="W29" s="624"/>
    </row>
    <row r="30" spans="1:23">
      <c r="A30" s="804">
        <f t="shared" si="7"/>
        <v>5.0299999999999994</v>
      </c>
      <c r="B30" s="624" t="s">
        <v>1263</v>
      </c>
      <c r="C30" s="787">
        <f t="shared" si="1"/>
        <v>12761317.389999999</v>
      </c>
      <c r="D30" s="787">
        <f t="shared" si="2"/>
        <v>7498080.3899999997</v>
      </c>
      <c r="E30" s="787"/>
      <c r="F30" s="787"/>
      <c r="G30" s="787">
        <f t="shared" si="3"/>
        <v>10129699</v>
      </c>
      <c r="H30" s="787"/>
      <c r="I30" s="787">
        <f t="shared" si="4"/>
        <v>251865.7</v>
      </c>
      <c r="J30" s="787">
        <f t="shared" si="5"/>
        <v>9372614.3399999999</v>
      </c>
      <c r="K30" s="787">
        <f t="shared" si="6"/>
        <v>132792.78000000003</v>
      </c>
      <c r="L30" s="787"/>
      <c r="M30" s="624">
        <v>503737.2</v>
      </c>
      <c r="N30" s="624">
        <v>744854.07000000007</v>
      </c>
      <c r="O30" s="624">
        <v>11247136.34</v>
      </c>
      <c r="P30" s="624">
        <v>265589.78000000003</v>
      </c>
      <c r="Q30" s="624"/>
      <c r="R30" s="787"/>
      <c r="S30" s="624">
        <v>-5.8</v>
      </c>
      <c r="T30" s="624">
        <v>-1.93</v>
      </c>
      <c r="U30" s="624">
        <v>7498092.3399999999</v>
      </c>
      <c r="V30" s="624">
        <v>-4.22</v>
      </c>
      <c r="W30" s="624"/>
    </row>
    <row r="31" spans="1:23">
      <c r="A31" s="804">
        <f t="shared" si="7"/>
        <v>5.0399999999999991</v>
      </c>
      <c r="B31" s="624" t="s">
        <v>1264</v>
      </c>
      <c r="C31" s="787">
        <f t="shared" si="1"/>
        <v>-8706.41</v>
      </c>
      <c r="D31" s="787">
        <f t="shared" si="2"/>
        <v>-8706.41</v>
      </c>
      <c r="E31" s="787"/>
      <c r="F31" s="787"/>
      <c r="G31" s="787">
        <f t="shared" si="3"/>
        <v>-8706</v>
      </c>
      <c r="H31" s="787"/>
      <c r="I31" s="787">
        <f t="shared" si="4"/>
        <v>0</v>
      </c>
      <c r="J31" s="787">
        <f t="shared" si="5"/>
        <v>0</v>
      </c>
      <c r="K31" s="787">
        <f t="shared" si="6"/>
        <v>0</v>
      </c>
      <c r="L31" s="787"/>
      <c r="M31" s="624"/>
      <c r="N31" s="624">
        <v>-8706.41</v>
      </c>
      <c r="O31" s="624"/>
      <c r="P31" s="624"/>
      <c r="Q31" s="624"/>
      <c r="R31" s="787"/>
      <c r="S31" s="624"/>
      <c r="T31" s="624">
        <v>-8706.41</v>
      </c>
      <c r="U31" s="624"/>
      <c r="V31" s="624"/>
      <c r="W31" s="624"/>
    </row>
    <row r="32" spans="1:23">
      <c r="A32" s="804">
        <f t="shared" si="7"/>
        <v>5.0499999999999989</v>
      </c>
      <c r="B32" s="624" t="s">
        <v>1265</v>
      </c>
      <c r="C32" s="787">
        <f t="shared" si="1"/>
        <v>42092104.25</v>
      </c>
      <c r="D32" s="787">
        <f t="shared" si="2"/>
        <v>44152818.579999998</v>
      </c>
      <c r="E32" s="787"/>
      <c r="F32" s="787"/>
      <c r="G32" s="787">
        <f t="shared" si="3"/>
        <v>43122461</v>
      </c>
      <c r="H32" s="787"/>
      <c r="I32" s="787">
        <f t="shared" si="4"/>
        <v>7307526.6549999993</v>
      </c>
      <c r="J32" s="787">
        <f t="shared" si="5"/>
        <v>7906075.9500000002</v>
      </c>
      <c r="K32" s="787">
        <f t="shared" si="6"/>
        <v>9281278.0700000003</v>
      </c>
      <c r="L32" s="787"/>
      <c r="M32" s="624">
        <v>7232125.25</v>
      </c>
      <c r="N32" s="624">
        <v>18266360.309999999</v>
      </c>
      <c r="O32" s="624">
        <v>7666210.1900000004</v>
      </c>
      <c r="P32" s="624">
        <v>8927408.5</v>
      </c>
      <c r="Q32" s="624"/>
      <c r="R32" s="787"/>
      <c r="S32" s="624">
        <v>7382928.0599999996</v>
      </c>
      <c r="T32" s="624">
        <v>18988801.170000002</v>
      </c>
      <c r="U32" s="624">
        <v>8145941.71</v>
      </c>
      <c r="V32" s="624">
        <v>9635147.6400000006</v>
      </c>
      <c r="W32" s="624"/>
    </row>
    <row r="33" spans="1:23">
      <c r="A33" s="804">
        <f t="shared" si="7"/>
        <v>5.0599999999999987</v>
      </c>
      <c r="B33" s="624" t="s">
        <v>1266</v>
      </c>
      <c r="C33" s="791">
        <f t="shared" si="1"/>
        <v>26035645.309999999</v>
      </c>
      <c r="D33" s="791">
        <f t="shared" si="2"/>
        <v>25179941.300000001</v>
      </c>
      <c r="E33" s="791"/>
      <c r="F33" s="791"/>
      <c r="G33" s="791">
        <f t="shared" si="3"/>
        <v>25607793</v>
      </c>
      <c r="H33" s="791"/>
      <c r="I33" s="791">
        <f t="shared" si="4"/>
        <v>9093052.2899999991</v>
      </c>
      <c r="J33" s="791">
        <f t="shared" si="5"/>
        <v>1693.81</v>
      </c>
      <c r="K33" s="791">
        <f t="shared" si="6"/>
        <v>189446.42499999999</v>
      </c>
      <c r="L33" s="791"/>
      <c r="M33" s="624">
        <v>8727053.3699999992</v>
      </c>
      <c r="N33" s="624">
        <v>17118289.710000001</v>
      </c>
      <c r="O33" s="624">
        <v>1693.81</v>
      </c>
      <c r="P33" s="624">
        <v>188608.42</v>
      </c>
      <c r="Q33" s="624"/>
      <c r="R33" s="791"/>
      <c r="S33" s="624">
        <v>9459051.2100000009</v>
      </c>
      <c r="T33" s="624">
        <v>15528911.85</v>
      </c>
      <c r="U33" s="624">
        <v>1693.81</v>
      </c>
      <c r="V33" s="624">
        <v>190284.43</v>
      </c>
      <c r="W33" s="624"/>
    </row>
    <row r="34" spans="1:23">
      <c r="A34" s="804">
        <f t="shared" si="7"/>
        <v>5.0699999999999985</v>
      </c>
      <c r="B34" s="624" t="s">
        <v>1267</v>
      </c>
      <c r="C34" s="787">
        <f t="shared" si="1"/>
        <v>61903779.759999998</v>
      </c>
      <c r="D34" s="787">
        <f t="shared" si="2"/>
        <v>61903779.759999998</v>
      </c>
      <c r="E34" s="787"/>
      <c r="F34" s="787"/>
      <c r="G34" s="787">
        <f t="shared" si="3"/>
        <v>61903780</v>
      </c>
      <c r="H34" s="787"/>
      <c r="I34" s="787">
        <f t="shared" si="4"/>
        <v>26994686.5</v>
      </c>
      <c r="J34" s="787">
        <f t="shared" si="5"/>
        <v>10663821.390000001</v>
      </c>
      <c r="K34" s="787">
        <f t="shared" si="6"/>
        <v>6813590.79</v>
      </c>
      <c r="L34" s="787"/>
      <c r="M34" s="624">
        <v>26994686.5</v>
      </c>
      <c r="N34" s="624">
        <v>17431681.079999998</v>
      </c>
      <c r="O34" s="624">
        <v>10663821.390000001</v>
      </c>
      <c r="P34" s="624">
        <v>6813590.79</v>
      </c>
      <c r="Q34" s="624"/>
      <c r="R34" s="787"/>
      <c r="S34" s="624">
        <v>26994686.5</v>
      </c>
      <c r="T34" s="624">
        <v>17431681.079999998</v>
      </c>
      <c r="U34" s="624">
        <v>10663821.390000001</v>
      </c>
      <c r="V34" s="624">
        <v>6813590.79</v>
      </c>
      <c r="W34" s="624"/>
    </row>
    <row r="35" spans="1:23">
      <c r="A35" s="804">
        <f t="shared" si="7"/>
        <v>5.0799999999999983</v>
      </c>
      <c r="B35" s="624" t="s">
        <v>1268</v>
      </c>
      <c r="C35" s="787">
        <f t="shared" si="1"/>
        <v>-7497262.0500000007</v>
      </c>
      <c r="D35" s="787">
        <f t="shared" si="2"/>
        <v>-11896044.689999999</v>
      </c>
      <c r="E35" s="787"/>
      <c r="F35" s="787"/>
      <c r="G35" s="787">
        <f t="shared" si="3"/>
        <v>-9696653</v>
      </c>
      <c r="H35" s="787"/>
      <c r="I35" s="787">
        <f t="shared" si="4"/>
        <v>0</v>
      </c>
      <c r="J35" s="787">
        <f t="shared" si="5"/>
        <v>-1464427.54</v>
      </c>
      <c r="K35" s="787">
        <f t="shared" si="6"/>
        <v>-8232225.8300000001</v>
      </c>
      <c r="L35" s="787"/>
      <c r="M35" s="624"/>
      <c r="N35" s="624"/>
      <c r="O35" s="624">
        <v>-1305166.8999999999</v>
      </c>
      <c r="P35" s="624">
        <v>-6192095.1500000004</v>
      </c>
      <c r="Q35" s="624"/>
      <c r="R35" s="787"/>
      <c r="S35" s="624"/>
      <c r="T35" s="624"/>
      <c r="U35" s="624">
        <v>-1623688.1800000002</v>
      </c>
      <c r="V35" s="624">
        <v>-10272356.51</v>
      </c>
      <c r="W35" s="624"/>
    </row>
    <row r="36" spans="1:23">
      <c r="A36" s="804">
        <f t="shared" si="7"/>
        <v>5.0899999999999981</v>
      </c>
      <c r="B36" s="624" t="s">
        <v>1269</v>
      </c>
      <c r="C36" s="787">
        <f t="shared" si="1"/>
        <v>25740182.189999998</v>
      </c>
      <c r="D36" s="787">
        <f t="shared" si="2"/>
        <v>44660757.810000002</v>
      </c>
      <c r="E36" s="787"/>
      <c r="F36" s="787"/>
      <c r="G36" s="787">
        <f t="shared" si="3"/>
        <v>35200470</v>
      </c>
      <c r="H36" s="787"/>
      <c r="I36" s="787">
        <f t="shared" si="4"/>
        <v>179486.71000000002</v>
      </c>
      <c r="J36" s="787">
        <f t="shared" si="5"/>
        <v>14690192.689999999</v>
      </c>
      <c r="K36" s="787">
        <f t="shared" si="6"/>
        <v>8341030.8300000001</v>
      </c>
      <c r="L36" s="787"/>
      <c r="M36" s="624">
        <v>134099.70000000001</v>
      </c>
      <c r="N36" s="624">
        <v>9742929.0299999993</v>
      </c>
      <c r="O36" s="624">
        <v>11753504.07</v>
      </c>
      <c r="P36" s="624">
        <v>4109649.39</v>
      </c>
      <c r="Q36" s="624"/>
      <c r="R36" s="787"/>
      <c r="S36" s="624">
        <v>224873.72</v>
      </c>
      <c r="T36" s="624">
        <v>14236590.51</v>
      </c>
      <c r="U36" s="624">
        <v>17626881.309999999</v>
      </c>
      <c r="V36" s="624">
        <v>12572412.27</v>
      </c>
      <c r="W36" s="624"/>
    </row>
    <row r="37" spans="1:23">
      <c r="A37" s="804">
        <f t="shared" si="7"/>
        <v>5.0999999999999979</v>
      </c>
      <c r="B37" s="624" t="s">
        <v>1270</v>
      </c>
      <c r="C37" s="787">
        <f t="shared" si="1"/>
        <v>-61393843.260000005</v>
      </c>
      <c r="D37" s="787">
        <f t="shared" si="2"/>
        <v>-64179250.010000005</v>
      </c>
      <c r="E37" s="787"/>
      <c r="F37" s="787"/>
      <c r="G37" s="787">
        <f t="shared" si="3"/>
        <v>-62786547</v>
      </c>
      <c r="H37" s="787"/>
      <c r="I37" s="787">
        <f t="shared" si="4"/>
        <v>-11333319.800000001</v>
      </c>
      <c r="J37" s="787">
        <f t="shared" si="5"/>
        <v>-12132357.845000001</v>
      </c>
      <c r="K37" s="787">
        <f t="shared" si="6"/>
        <v>-13923301.689999999</v>
      </c>
      <c r="L37" s="787"/>
      <c r="M37" s="624">
        <v>-11207487.52</v>
      </c>
      <c r="N37" s="624">
        <v>-25174703.82</v>
      </c>
      <c r="O37" s="624">
        <v>-11706803.130000001</v>
      </c>
      <c r="P37" s="624">
        <v>-13304848.789999999</v>
      </c>
      <c r="Q37" s="624"/>
      <c r="R37" s="787"/>
      <c r="S37" s="624">
        <v>-11459152.08</v>
      </c>
      <c r="T37" s="624">
        <v>-25620430.780000001</v>
      </c>
      <c r="U37" s="624">
        <v>-12557912.560000001</v>
      </c>
      <c r="V37" s="624">
        <v>-14541754.59</v>
      </c>
      <c r="W37" s="624"/>
    </row>
    <row r="38" spans="1:23">
      <c r="A38" s="804">
        <f t="shared" si="7"/>
        <v>5.1099999999999977</v>
      </c>
      <c r="B38" s="624" t="s">
        <v>1271</v>
      </c>
      <c r="C38" s="787">
        <f t="shared" si="1"/>
        <v>20325.560000000001</v>
      </c>
      <c r="D38" s="787">
        <f t="shared" si="2"/>
        <v>20325.560000000001</v>
      </c>
      <c r="E38" s="787"/>
      <c r="F38" s="787"/>
      <c r="G38" s="787">
        <f t="shared" si="3"/>
        <v>20326</v>
      </c>
      <c r="H38" s="787"/>
      <c r="I38" s="787">
        <f t="shared" si="4"/>
        <v>20325.560000000001</v>
      </c>
      <c r="J38" s="787">
        <f t="shared" si="5"/>
        <v>0</v>
      </c>
      <c r="K38" s="787">
        <f t="shared" si="6"/>
        <v>0</v>
      </c>
      <c r="L38" s="787"/>
      <c r="M38" s="624">
        <v>20325.560000000001</v>
      </c>
      <c r="N38" s="624"/>
      <c r="O38" s="624"/>
      <c r="P38" s="624"/>
      <c r="Q38" s="624"/>
      <c r="R38" s="787"/>
      <c r="S38" s="624">
        <v>20325.560000000001</v>
      </c>
      <c r="T38" s="624"/>
      <c r="U38" s="624"/>
      <c r="V38" s="624"/>
      <c r="W38" s="624"/>
    </row>
    <row r="39" spans="1:23">
      <c r="A39" s="804">
        <f t="shared" si="7"/>
        <v>5.1199999999999974</v>
      </c>
      <c r="B39" s="624" t="s">
        <v>1272</v>
      </c>
      <c r="C39" s="787">
        <f t="shared" si="1"/>
        <v>69630544.900000006</v>
      </c>
      <c r="D39" s="787">
        <f t="shared" si="2"/>
        <v>70640658.090000004</v>
      </c>
      <c r="E39" s="787"/>
      <c r="F39" s="787"/>
      <c r="G39" s="787">
        <f t="shared" si="3"/>
        <v>70135601</v>
      </c>
      <c r="H39" s="787"/>
      <c r="I39" s="787">
        <f t="shared" si="4"/>
        <v>6319009.0999999996</v>
      </c>
      <c r="J39" s="787">
        <f t="shared" si="5"/>
        <v>12041493.555</v>
      </c>
      <c r="K39" s="787">
        <f t="shared" si="6"/>
        <v>35348468.739999995</v>
      </c>
      <c r="L39" s="787"/>
      <c r="M39" s="624">
        <v>6288942.9400000004</v>
      </c>
      <c r="N39" s="624">
        <v>16813481.370000001</v>
      </c>
      <c r="O39" s="624">
        <v>11721291.119999999</v>
      </c>
      <c r="P39" s="624">
        <v>34806829.469999999</v>
      </c>
      <c r="Q39" s="624"/>
      <c r="R39" s="787"/>
      <c r="S39" s="624">
        <v>6349075.2599999998</v>
      </c>
      <c r="T39" s="624">
        <v>16039778.83</v>
      </c>
      <c r="U39" s="624">
        <v>12361695.99</v>
      </c>
      <c r="V39" s="624">
        <v>35890108.009999998</v>
      </c>
      <c r="W39" s="624"/>
    </row>
    <row r="40" spans="1:23">
      <c r="A40" s="804">
        <f t="shared" si="7"/>
        <v>5.1299999999999972</v>
      </c>
      <c r="B40" s="624" t="s">
        <v>1273</v>
      </c>
      <c r="C40" s="787">
        <f t="shared" si="1"/>
        <v>418311429.06</v>
      </c>
      <c r="D40" s="787">
        <f t="shared" si="2"/>
        <v>351345066.54000002</v>
      </c>
      <c r="E40" s="787"/>
      <c r="F40" s="787"/>
      <c r="G40" s="787">
        <f t="shared" si="3"/>
        <v>384828248</v>
      </c>
      <c r="H40" s="787"/>
      <c r="I40" s="787">
        <f t="shared" si="4"/>
        <v>163575.99500000011</v>
      </c>
      <c r="J40" s="787">
        <f t="shared" si="5"/>
        <v>118141088.745</v>
      </c>
      <c r="K40" s="787">
        <f t="shared" si="6"/>
        <v>163981803.49000001</v>
      </c>
      <c r="L40" s="787"/>
      <c r="M40" s="624">
        <v>10944321.359999999</v>
      </c>
      <c r="N40" s="624">
        <v>120259614.73999999</v>
      </c>
      <c r="O40" s="624">
        <v>119856699.59</v>
      </c>
      <c r="P40" s="624">
        <v>167250793.37</v>
      </c>
      <c r="Q40" s="624"/>
      <c r="R40" s="787"/>
      <c r="S40" s="624">
        <v>-10617169.369999999</v>
      </c>
      <c r="T40" s="624">
        <v>84823944.400000006</v>
      </c>
      <c r="U40" s="624">
        <v>116425477.90000001</v>
      </c>
      <c r="V40" s="624">
        <v>160712813.61000001</v>
      </c>
      <c r="W40" s="624"/>
    </row>
    <row r="41" spans="1:23">
      <c r="A41" s="804">
        <f t="shared" si="7"/>
        <v>5.139999999999997</v>
      </c>
      <c r="B41" s="624" t="s">
        <v>1274</v>
      </c>
      <c r="C41" s="787">
        <f t="shared" si="1"/>
        <v>31882124.610000003</v>
      </c>
      <c r="D41" s="787">
        <f t="shared" si="2"/>
        <v>31882124.610000003</v>
      </c>
      <c r="E41" s="787"/>
      <c r="F41" s="787"/>
      <c r="G41" s="787">
        <f t="shared" si="3"/>
        <v>31882125</v>
      </c>
      <c r="H41" s="787"/>
      <c r="I41" s="787">
        <f t="shared" si="4"/>
        <v>1879021.62</v>
      </c>
      <c r="J41" s="787">
        <f t="shared" si="5"/>
        <v>15021.300000000001</v>
      </c>
      <c r="K41" s="787">
        <f t="shared" si="6"/>
        <v>241887.66</v>
      </c>
      <c r="L41" s="787"/>
      <c r="M41" s="624">
        <v>1879021.62</v>
      </c>
      <c r="N41" s="624">
        <v>29746194.030000001</v>
      </c>
      <c r="O41" s="624">
        <v>15021.300000000001</v>
      </c>
      <c r="P41" s="624">
        <v>241887.66</v>
      </c>
      <c r="Q41" s="624"/>
      <c r="R41" s="787"/>
      <c r="S41" s="624">
        <v>1879021.62</v>
      </c>
      <c r="T41" s="624">
        <v>29746194.030000001</v>
      </c>
      <c r="U41" s="624">
        <v>15021.300000000001</v>
      </c>
      <c r="V41" s="624">
        <v>241887.66</v>
      </c>
      <c r="W41" s="624"/>
    </row>
    <row r="42" spans="1:23">
      <c r="A42" s="804">
        <f t="shared" si="7"/>
        <v>5.1499999999999968</v>
      </c>
      <c r="B42" s="624" t="s">
        <v>1275</v>
      </c>
      <c r="C42" s="787">
        <f t="shared" si="1"/>
        <v>11265213.149999999</v>
      </c>
      <c r="D42" s="787">
        <f t="shared" si="2"/>
        <v>11266557.209999999</v>
      </c>
      <c r="E42" s="787"/>
      <c r="F42" s="787"/>
      <c r="G42" s="787">
        <f t="shared" si="3"/>
        <v>11265885</v>
      </c>
      <c r="H42" s="787"/>
      <c r="I42" s="787">
        <f t="shared" si="4"/>
        <v>0</v>
      </c>
      <c r="J42" s="787">
        <f t="shared" si="5"/>
        <v>654946.53</v>
      </c>
      <c r="K42" s="787">
        <f t="shared" si="6"/>
        <v>10610938.649999999</v>
      </c>
      <c r="L42" s="787"/>
      <c r="M42" s="624"/>
      <c r="N42" s="624"/>
      <c r="O42" s="624">
        <v>654946.53</v>
      </c>
      <c r="P42" s="624">
        <v>10610266.619999999</v>
      </c>
      <c r="Q42" s="624"/>
      <c r="R42" s="787"/>
      <c r="S42" s="624"/>
      <c r="T42" s="624"/>
      <c r="U42" s="624">
        <v>654946.53</v>
      </c>
      <c r="V42" s="624">
        <v>10611610.68</v>
      </c>
      <c r="W42" s="624"/>
    </row>
    <row r="43" spans="1:23">
      <c r="A43" s="804">
        <f t="shared" si="7"/>
        <v>5.1599999999999966</v>
      </c>
      <c r="B43" s="624" t="s">
        <v>1276</v>
      </c>
      <c r="C43" s="787">
        <f t="shared" si="1"/>
        <v>366777726.88999999</v>
      </c>
      <c r="D43" s="787">
        <f t="shared" si="2"/>
        <v>407065642.30000001</v>
      </c>
      <c r="E43" s="787"/>
      <c r="F43" s="787"/>
      <c r="G43" s="787">
        <f t="shared" si="3"/>
        <v>386921685</v>
      </c>
      <c r="H43" s="787"/>
      <c r="I43" s="787">
        <f t="shared" si="4"/>
        <v>30927768.675000001</v>
      </c>
      <c r="J43" s="787">
        <f t="shared" si="5"/>
        <v>59615683.575000003</v>
      </c>
      <c r="K43" s="787">
        <f t="shared" si="6"/>
        <v>161575876.14499998</v>
      </c>
      <c r="L43" s="787"/>
      <c r="M43" s="624">
        <v>30406241.690000001</v>
      </c>
      <c r="N43" s="624">
        <v>128984765.94</v>
      </c>
      <c r="O43" s="624">
        <v>57256804.289999999</v>
      </c>
      <c r="P43" s="624">
        <v>150129914.97</v>
      </c>
      <c r="Q43" s="624"/>
      <c r="R43" s="787"/>
      <c r="S43" s="624">
        <v>31449295.66</v>
      </c>
      <c r="T43" s="624">
        <v>140619946.46000001</v>
      </c>
      <c r="U43" s="624">
        <v>61974562.859999999</v>
      </c>
      <c r="V43" s="624">
        <v>173021837.31999999</v>
      </c>
      <c r="W43" s="624"/>
    </row>
    <row r="44" spans="1:23">
      <c r="A44" s="804">
        <f t="shared" si="7"/>
        <v>5.1699999999999964</v>
      </c>
      <c r="B44" s="624" t="s">
        <v>1277</v>
      </c>
      <c r="C44" s="787">
        <f t="shared" si="1"/>
        <v>-101967.15000000001</v>
      </c>
      <c r="D44" s="787">
        <f t="shared" si="2"/>
        <v>-106272.19</v>
      </c>
      <c r="E44" s="787"/>
      <c r="F44" s="787"/>
      <c r="G44" s="787">
        <f t="shared" si="3"/>
        <v>-104120</v>
      </c>
      <c r="H44" s="787"/>
      <c r="I44" s="787">
        <f t="shared" si="4"/>
        <v>-57.83</v>
      </c>
      <c r="J44" s="787">
        <f t="shared" si="5"/>
        <v>-2124.2049999999999</v>
      </c>
      <c r="K44" s="787">
        <f t="shared" si="6"/>
        <v>-64931.64</v>
      </c>
      <c r="L44" s="787"/>
      <c r="M44" s="624">
        <v>-57.83</v>
      </c>
      <c r="N44" s="624">
        <v>-36945.620000000003</v>
      </c>
      <c r="O44" s="624">
        <v>-2011.07</v>
      </c>
      <c r="P44" s="624">
        <v>-62952.630000000005</v>
      </c>
      <c r="Q44" s="624"/>
      <c r="R44" s="787"/>
      <c r="S44" s="624">
        <v>-57.83</v>
      </c>
      <c r="T44" s="624">
        <v>-37066.370000000003</v>
      </c>
      <c r="U44" s="624">
        <v>-2237.34</v>
      </c>
      <c r="V44" s="624">
        <v>-66910.649999999994</v>
      </c>
      <c r="W44" s="624"/>
    </row>
    <row r="45" spans="1:23">
      <c r="A45" s="804">
        <f t="shared" si="7"/>
        <v>5.1799999999999962</v>
      </c>
      <c r="B45" s="624" t="s">
        <v>1278</v>
      </c>
      <c r="C45" s="787">
        <f t="shared" si="1"/>
        <v>-106652345.65000001</v>
      </c>
      <c r="D45" s="787">
        <f t="shared" si="2"/>
        <v>-106652345.65000001</v>
      </c>
      <c r="E45" s="787"/>
      <c r="F45" s="787"/>
      <c r="G45" s="787">
        <f t="shared" si="3"/>
        <v>-106652346</v>
      </c>
      <c r="H45" s="787"/>
      <c r="I45" s="787">
        <f t="shared" si="4"/>
        <v>-37790194.729999997</v>
      </c>
      <c r="J45" s="787">
        <f t="shared" si="5"/>
        <v>-19577875.760000002</v>
      </c>
      <c r="K45" s="787">
        <f t="shared" si="6"/>
        <v>-30706671.390000001</v>
      </c>
      <c r="L45" s="787"/>
      <c r="M45" s="624">
        <v>-37790194.729999997</v>
      </c>
      <c r="N45" s="624">
        <v>-18577603.77</v>
      </c>
      <c r="O45" s="624">
        <v>-19577875.760000002</v>
      </c>
      <c r="P45" s="624">
        <v>-30706671.390000001</v>
      </c>
      <c r="Q45" s="624"/>
      <c r="R45" s="787"/>
      <c r="S45" s="624">
        <v>-37790194.729999997</v>
      </c>
      <c r="T45" s="624">
        <v>-18577603.77</v>
      </c>
      <c r="U45" s="624">
        <v>-19577875.760000002</v>
      </c>
      <c r="V45" s="624">
        <v>-30706671.390000001</v>
      </c>
      <c r="W45" s="624"/>
    </row>
    <row r="46" spans="1:23">
      <c r="A46" s="804">
        <f t="shared" si="7"/>
        <v>5.1899999999999959</v>
      </c>
      <c r="B46" s="624" t="s">
        <v>1279</v>
      </c>
      <c r="C46" s="787">
        <f t="shared" si="1"/>
        <v>-259331.36000000002</v>
      </c>
      <c r="D46" s="787">
        <f t="shared" si="2"/>
        <v>-248155.62</v>
      </c>
      <c r="E46" s="787"/>
      <c r="F46" s="787"/>
      <c r="G46" s="787">
        <f t="shared" si="3"/>
        <v>-253743</v>
      </c>
      <c r="H46" s="787"/>
      <c r="I46" s="787">
        <f t="shared" si="4"/>
        <v>-253743.49</v>
      </c>
      <c r="J46" s="787">
        <f t="shared" si="5"/>
        <v>0</v>
      </c>
      <c r="K46" s="787">
        <f t="shared" si="6"/>
        <v>0</v>
      </c>
      <c r="L46" s="787"/>
      <c r="M46" s="624">
        <v>-259331.36000000002</v>
      </c>
      <c r="N46" s="624"/>
      <c r="O46" s="624"/>
      <c r="P46" s="624"/>
      <c r="Q46" s="624"/>
      <c r="R46" s="787"/>
      <c r="S46" s="624">
        <v>-248155.62</v>
      </c>
      <c r="T46" s="624"/>
      <c r="U46" s="624"/>
      <c r="V46" s="624"/>
      <c r="W46" s="624"/>
    </row>
    <row r="47" spans="1:23">
      <c r="A47" s="804">
        <f t="shared" si="7"/>
        <v>5.1999999999999957</v>
      </c>
      <c r="B47" s="624" t="s">
        <v>1280</v>
      </c>
      <c r="C47" s="787">
        <f t="shared" si="1"/>
        <v>0.1</v>
      </c>
      <c r="D47" s="787">
        <f t="shared" si="2"/>
        <v>0.1</v>
      </c>
      <c r="E47" s="787"/>
      <c r="F47" s="787"/>
      <c r="G47" s="787">
        <f t="shared" si="3"/>
        <v>0</v>
      </c>
      <c r="H47" s="787"/>
      <c r="I47" s="787">
        <f t="shared" si="4"/>
        <v>0.1</v>
      </c>
      <c r="J47" s="787">
        <f t="shared" si="5"/>
        <v>0</v>
      </c>
      <c r="K47" s="787">
        <f t="shared" si="6"/>
        <v>0</v>
      </c>
      <c r="L47" s="787"/>
      <c r="M47" s="624">
        <v>0.1</v>
      </c>
      <c r="N47" s="624"/>
      <c r="O47" s="624"/>
      <c r="P47" s="624"/>
      <c r="Q47" s="624"/>
      <c r="R47" s="787"/>
      <c r="S47" s="624">
        <v>0.1</v>
      </c>
      <c r="T47" s="624"/>
      <c r="U47" s="624"/>
      <c r="V47" s="624"/>
      <c r="W47" s="624"/>
    </row>
    <row r="48" spans="1:23">
      <c r="A48" s="804">
        <f t="shared" si="7"/>
        <v>5.2099999999999955</v>
      </c>
      <c r="B48" s="624" t="s">
        <v>1281</v>
      </c>
      <c r="C48" s="787">
        <f t="shared" si="1"/>
        <v>0</v>
      </c>
      <c r="D48" s="787">
        <f t="shared" si="2"/>
        <v>0</v>
      </c>
      <c r="E48" s="787"/>
      <c r="F48" s="787"/>
      <c r="G48" s="787">
        <f t="shared" si="3"/>
        <v>0</v>
      </c>
      <c r="H48" s="787"/>
      <c r="I48" s="787">
        <f t="shared" si="4"/>
        <v>-0.105</v>
      </c>
      <c r="J48" s="787">
        <f t="shared" si="5"/>
        <v>0.21</v>
      </c>
      <c r="K48" s="787">
        <f t="shared" si="6"/>
        <v>-0.21</v>
      </c>
      <c r="L48" s="787"/>
      <c r="M48" s="624">
        <v>-0.21</v>
      </c>
      <c r="N48" s="624">
        <v>0.21</v>
      </c>
      <c r="O48" s="624">
        <v>0.42</v>
      </c>
      <c r="P48" s="624">
        <v>-0.42</v>
      </c>
      <c r="Q48" s="624"/>
      <c r="R48" s="787"/>
      <c r="S48" s="624"/>
      <c r="T48" s="624"/>
      <c r="U48" s="624"/>
      <c r="V48" s="624"/>
      <c r="W48" s="624"/>
    </row>
    <row r="49" spans="1:23">
      <c r="A49" s="804">
        <f t="shared" si="7"/>
        <v>5.2199999999999953</v>
      </c>
      <c r="B49" s="624" t="s">
        <v>1433</v>
      </c>
      <c r="C49" s="787">
        <f t="shared" ref="C49" si="8">SUM(M49:P49)</f>
        <v>0</v>
      </c>
      <c r="D49" s="787">
        <f t="shared" ref="D49" si="9">SUM(S49:V49)</f>
        <v>-55128.020000000004</v>
      </c>
      <c r="E49" s="787"/>
      <c r="F49" s="787"/>
      <c r="G49" s="787">
        <f t="shared" ref="G49" si="10">ROUND(SUM(C49:F49)/2,0)</f>
        <v>-27564</v>
      </c>
      <c r="H49" s="787"/>
      <c r="I49" s="787">
        <f t="shared" ref="I49" si="11">(M49+S49)/2</f>
        <v>0</v>
      </c>
      <c r="J49" s="787">
        <f t="shared" ref="J49" si="12">(O49+U49)/2</f>
        <v>-27564.010000000002</v>
      </c>
      <c r="K49" s="787">
        <f t="shared" ref="K49" si="13">(P49+V49)/2</f>
        <v>0</v>
      </c>
      <c r="L49" s="787"/>
      <c r="M49" s="624"/>
      <c r="N49" s="624"/>
      <c r="O49" s="624"/>
      <c r="P49" s="624"/>
      <c r="Q49" s="624"/>
      <c r="R49" s="787"/>
      <c r="S49" s="624"/>
      <c r="T49" s="624"/>
      <c r="U49" s="624">
        <v>-55128.020000000004</v>
      </c>
      <c r="V49" s="624"/>
      <c r="W49" s="624"/>
    </row>
    <row r="50" spans="1:23">
      <c r="A50" s="804">
        <f t="shared" si="7"/>
        <v>5.2299999999999951</v>
      </c>
      <c r="B50" s="624" t="s">
        <v>1435</v>
      </c>
      <c r="C50" s="787">
        <f t="shared" ref="C50" si="14">SUM(M50:P50)</f>
        <v>0</v>
      </c>
      <c r="D50" s="787">
        <f t="shared" ref="D50" si="15">SUM(S50:V50)</f>
        <v>-136601.03</v>
      </c>
      <c r="E50" s="787"/>
      <c r="F50" s="787"/>
      <c r="G50" s="787">
        <f t="shared" ref="G50" si="16">ROUND(SUM(C50:F50)/2,0)</f>
        <v>-68301</v>
      </c>
      <c r="H50" s="787"/>
      <c r="I50" s="787">
        <f t="shared" ref="I50" si="17">(M50+S50)/2</f>
        <v>0</v>
      </c>
      <c r="J50" s="787">
        <f t="shared" ref="J50" si="18">(O50+U50)/2</f>
        <v>0</v>
      </c>
      <c r="K50" s="787">
        <f t="shared" ref="K50" si="19">(P50+V50)/2</f>
        <v>-68300.514999999999</v>
      </c>
      <c r="L50" s="787"/>
      <c r="M50" s="624"/>
      <c r="N50" s="624"/>
      <c r="O50" s="624"/>
      <c r="P50" s="624"/>
      <c r="Q50" s="624"/>
      <c r="R50" s="787"/>
      <c r="S50" s="624"/>
      <c r="T50" s="624"/>
      <c r="U50" s="624"/>
      <c r="V50" s="624">
        <v>-136601.03</v>
      </c>
      <c r="W50" s="624"/>
    </row>
    <row r="51" spans="1:23">
      <c r="A51" s="804">
        <f t="shared" si="7"/>
        <v>5.2399999999999949</v>
      </c>
      <c r="B51" s="624" t="s">
        <v>1429</v>
      </c>
      <c r="C51" s="787">
        <f t="shared" ref="C51:C54" si="20">SUM(M51:P51)</f>
        <v>0</v>
      </c>
      <c r="D51" s="787">
        <f t="shared" ref="D51:D54" si="21">SUM(S51:V51)</f>
        <v>-38895.020000000004</v>
      </c>
      <c r="E51" s="787"/>
      <c r="F51" s="787"/>
      <c r="G51" s="787">
        <f t="shared" ref="G51:G54" si="22">ROUND(SUM(C51:F51)/2,0)</f>
        <v>-19448</v>
      </c>
      <c r="H51" s="787"/>
      <c r="I51" s="787">
        <f t="shared" ref="I51:I54" si="23">(M51+S51)/2</f>
        <v>-6011.59</v>
      </c>
      <c r="J51" s="787">
        <f t="shared" ref="J51:J54" si="24">(O51+U51)/2</f>
        <v>0</v>
      </c>
      <c r="K51" s="787">
        <f t="shared" ref="K51:K54" si="25">(P51+V51)/2</f>
        <v>0</v>
      </c>
      <c r="L51" s="787"/>
      <c r="M51" s="624"/>
      <c r="N51" s="624"/>
      <c r="O51" s="624"/>
      <c r="P51" s="624"/>
      <c r="Q51" s="624"/>
      <c r="R51" s="787"/>
      <c r="S51" s="624">
        <v>-12023.18</v>
      </c>
      <c r="T51" s="624">
        <v>-26871.84</v>
      </c>
      <c r="U51" s="624"/>
      <c r="V51" s="624"/>
      <c r="W51" s="624"/>
    </row>
    <row r="52" spans="1:23">
      <c r="A52" s="804">
        <f t="shared" si="7"/>
        <v>5.2499999999999947</v>
      </c>
      <c r="B52" s="624" t="s">
        <v>1434</v>
      </c>
      <c r="C52" s="787">
        <f t="shared" si="20"/>
        <v>0</v>
      </c>
      <c r="D52" s="787">
        <f t="shared" si="21"/>
        <v>-1945.26</v>
      </c>
      <c r="E52" s="787"/>
      <c r="F52" s="787"/>
      <c r="G52" s="787">
        <f t="shared" si="22"/>
        <v>-973</v>
      </c>
      <c r="H52" s="787"/>
      <c r="I52" s="787">
        <f t="shared" si="23"/>
        <v>0</v>
      </c>
      <c r="J52" s="787">
        <f t="shared" si="24"/>
        <v>-972.63</v>
      </c>
      <c r="K52" s="787">
        <f t="shared" si="25"/>
        <v>0</v>
      </c>
      <c r="L52" s="787"/>
      <c r="M52" s="624"/>
      <c r="N52" s="624"/>
      <c r="O52" s="624"/>
      <c r="P52" s="624"/>
      <c r="Q52" s="624"/>
      <c r="R52" s="787"/>
      <c r="S52" s="624"/>
      <c r="T52" s="624"/>
      <c r="U52" s="624">
        <v>-1945.26</v>
      </c>
      <c r="V52" s="624"/>
      <c r="W52" s="624"/>
    </row>
    <row r="53" spans="1:23">
      <c r="A53" s="804">
        <f t="shared" si="7"/>
        <v>5.2599999999999945</v>
      </c>
      <c r="B53" s="624" t="s">
        <v>1436</v>
      </c>
      <c r="C53" s="787">
        <f t="shared" ref="C53" si="26">SUM(M53:P53)</f>
        <v>0</v>
      </c>
      <c r="D53" s="787">
        <f t="shared" ref="D53" si="27">SUM(S53:V53)</f>
        <v>-10297.16</v>
      </c>
      <c r="E53" s="787"/>
      <c r="F53" s="787"/>
      <c r="G53" s="787">
        <f t="shared" ref="G53" si="28">ROUND(SUM(C53:F53)/2,0)</f>
        <v>-5149</v>
      </c>
      <c r="H53" s="787"/>
      <c r="I53" s="787">
        <f t="shared" ref="I53" si="29">(M53+S53)/2</f>
        <v>0</v>
      </c>
      <c r="J53" s="787">
        <f t="shared" ref="J53" si="30">(O53+U53)/2</f>
        <v>0</v>
      </c>
      <c r="K53" s="787">
        <f t="shared" ref="K53" si="31">(P53+V53)/2</f>
        <v>-5148.58</v>
      </c>
      <c r="L53" s="787"/>
      <c r="M53" s="624"/>
      <c r="N53" s="624"/>
      <c r="O53" s="624"/>
      <c r="P53" s="624"/>
      <c r="Q53" s="624"/>
      <c r="R53" s="787"/>
      <c r="S53" s="624"/>
      <c r="T53" s="624"/>
      <c r="U53" s="624"/>
      <c r="V53" s="624">
        <v>-10297.16</v>
      </c>
      <c r="W53" s="624"/>
    </row>
    <row r="54" spans="1:23">
      <c r="A54" s="804">
        <f t="shared" si="7"/>
        <v>5.2699999999999942</v>
      </c>
      <c r="B54" s="624" t="s">
        <v>1430</v>
      </c>
      <c r="C54" s="787">
        <f t="shared" si="20"/>
        <v>0</v>
      </c>
      <c r="D54" s="787">
        <f t="shared" si="21"/>
        <v>-2220.42</v>
      </c>
      <c r="E54" s="787"/>
      <c r="F54" s="787"/>
      <c r="G54" s="787">
        <f t="shared" si="22"/>
        <v>-1110</v>
      </c>
      <c r="H54" s="787"/>
      <c r="I54" s="787">
        <f t="shared" si="23"/>
        <v>-255.23000000000002</v>
      </c>
      <c r="J54" s="787">
        <f t="shared" si="24"/>
        <v>0</v>
      </c>
      <c r="K54" s="787">
        <f t="shared" si="25"/>
        <v>0</v>
      </c>
      <c r="L54" s="787"/>
      <c r="M54" s="624"/>
      <c r="N54" s="624"/>
      <c r="O54" s="624"/>
      <c r="P54" s="624"/>
      <c r="Q54" s="624"/>
      <c r="R54" s="787"/>
      <c r="S54" s="624">
        <v>-510.46000000000004</v>
      </c>
      <c r="T54" s="624">
        <v>-1709.96</v>
      </c>
      <c r="U54" s="624"/>
      <c r="V54" s="624"/>
      <c r="W54" s="624"/>
    </row>
    <row r="55" spans="1:23">
      <c r="A55" s="804">
        <f t="shared" si="7"/>
        <v>5.279999999999994</v>
      </c>
      <c r="B55" s="624" t="s">
        <v>1282</v>
      </c>
      <c r="C55" s="787">
        <f t="shared" si="1"/>
        <v>-15151773.84</v>
      </c>
      <c r="D55" s="787">
        <f t="shared" si="2"/>
        <v>0</v>
      </c>
      <c r="E55" s="787"/>
      <c r="F55" s="787"/>
      <c r="G55" s="787">
        <f t="shared" si="3"/>
        <v>-7575887</v>
      </c>
      <c r="H55" s="787"/>
      <c r="I55" s="787">
        <f t="shared" si="4"/>
        <v>-935593.67999999993</v>
      </c>
      <c r="J55" s="787">
        <f t="shared" si="5"/>
        <v>-739731.61499999999</v>
      </c>
      <c r="K55" s="787">
        <f t="shared" si="6"/>
        <v>-2518957.98</v>
      </c>
      <c r="L55" s="787"/>
      <c r="M55" s="624">
        <v>-1871187.3599999999</v>
      </c>
      <c r="N55" s="624">
        <v>-6763207.29</v>
      </c>
      <c r="O55" s="624">
        <v>-1479463.23</v>
      </c>
      <c r="P55" s="624">
        <v>-5037915.96</v>
      </c>
      <c r="Q55" s="624"/>
      <c r="R55" s="787"/>
      <c r="S55" s="624">
        <v>0</v>
      </c>
      <c r="T55" s="624"/>
      <c r="U55" s="624"/>
      <c r="V55" s="624"/>
      <c r="W55" s="624"/>
    </row>
    <row r="56" spans="1:23">
      <c r="A56" s="804">
        <f t="shared" si="7"/>
        <v>5.2899999999999938</v>
      </c>
      <c r="B56" s="624" t="s">
        <v>1431</v>
      </c>
      <c r="C56" s="787">
        <f t="shared" ref="C56:C57" si="32">SUM(M56:P56)</f>
        <v>0</v>
      </c>
      <c r="D56" s="787">
        <f t="shared" ref="D56:D57" si="33">SUM(S56:V56)</f>
        <v>-12807.06</v>
      </c>
      <c r="E56" s="787"/>
      <c r="F56" s="787"/>
      <c r="G56" s="787">
        <f t="shared" ref="G56:G57" si="34">ROUND(SUM(C56:F56)/2,0)</f>
        <v>-6404</v>
      </c>
      <c r="H56" s="787"/>
      <c r="I56" s="787">
        <f t="shared" ref="I56:I57" si="35">(M56+S56)/2</f>
        <v>-6403.53</v>
      </c>
      <c r="J56" s="787">
        <f t="shared" ref="J56:J57" si="36">(O56+U56)/2</f>
        <v>0</v>
      </c>
      <c r="K56" s="787">
        <f t="shared" ref="K56:K57" si="37">(P56+V56)/2</f>
        <v>0</v>
      </c>
      <c r="L56" s="787"/>
      <c r="M56" s="624"/>
      <c r="N56" s="624"/>
      <c r="O56" s="624"/>
      <c r="P56" s="624"/>
      <c r="Q56" s="624"/>
      <c r="R56" s="787"/>
      <c r="S56" s="624">
        <v>-12807.06</v>
      </c>
      <c r="T56" s="624"/>
      <c r="U56" s="624"/>
      <c r="V56" s="624"/>
      <c r="W56" s="624"/>
    </row>
    <row r="57" spans="1:23">
      <c r="A57" s="804">
        <f t="shared" si="7"/>
        <v>5.2999999999999936</v>
      </c>
      <c r="B57" s="624" t="s">
        <v>1432</v>
      </c>
      <c r="C57" s="787">
        <f t="shared" si="32"/>
        <v>0</v>
      </c>
      <c r="D57" s="787">
        <f t="shared" si="33"/>
        <v>-5024.67</v>
      </c>
      <c r="E57" s="787"/>
      <c r="F57" s="787"/>
      <c r="G57" s="787">
        <f t="shared" si="34"/>
        <v>-2512</v>
      </c>
      <c r="H57" s="787"/>
      <c r="I57" s="787">
        <f t="shared" si="35"/>
        <v>-2512.335</v>
      </c>
      <c r="J57" s="787">
        <f t="shared" si="36"/>
        <v>0</v>
      </c>
      <c r="K57" s="787">
        <f t="shared" si="37"/>
        <v>0</v>
      </c>
      <c r="L57" s="787"/>
      <c r="M57" s="624"/>
      <c r="N57" s="624"/>
      <c r="O57" s="624"/>
      <c r="P57" s="624"/>
      <c r="Q57" s="624"/>
      <c r="R57" s="787"/>
      <c r="S57" s="624">
        <v>-5024.67</v>
      </c>
      <c r="T57" s="624"/>
      <c r="U57" s="624"/>
      <c r="V57" s="624"/>
      <c r="W57" s="624"/>
    </row>
    <row r="58" spans="1:23">
      <c r="A58" s="804">
        <f t="shared" si="7"/>
        <v>5.3099999999999934</v>
      </c>
      <c r="B58" s="624" t="s">
        <v>1283</v>
      </c>
      <c r="C58" s="787">
        <f t="shared" si="1"/>
        <v>7632366.7700000005</v>
      </c>
      <c r="D58" s="787">
        <f t="shared" si="2"/>
        <v>6535625.3900000006</v>
      </c>
      <c r="E58" s="787"/>
      <c r="F58" s="787"/>
      <c r="G58" s="787">
        <f t="shared" si="3"/>
        <v>7083996</v>
      </c>
      <c r="H58" s="787"/>
      <c r="I58" s="787">
        <f t="shared" si="4"/>
        <v>858485.19500000007</v>
      </c>
      <c r="J58" s="787">
        <f t="shared" si="5"/>
        <v>1950097.38</v>
      </c>
      <c r="K58" s="787">
        <f t="shared" si="6"/>
        <v>4163078.9450000003</v>
      </c>
      <c r="L58" s="787"/>
      <c r="M58" s="624">
        <v>946447.91</v>
      </c>
      <c r="N58" s="624">
        <v>118248.17</v>
      </c>
      <c r="O58" s="624">
        <v>2161141</v>
      </c>
      <c r="P58" s="624">
        <v>4406529.6900000004</v>
      </c>
      <c r="Q58" s="624"/>
      <c r="R58" s="787"/>
      <c r="S58" s="624">
        <v>770522.48</v>
      </c>
      <c r="T58" s="624">
        <v>106420.95</v>
      </c>
      <c r="U58" s="624">
        <v>1739053.76</v>
      </c>
      <c r="V58" s="624">
        <v>3919628.2</v>
      </c>
      <c r="W58" s="624"/>
    </row>
    <row r="59" spans="1:23">
      <c r="A59" s="804">
        <f t="shared" si="7"/>
        <v>5.3199999999999932</v>
      </c>
      <c r="B59" s="1094" t="s">
        <v>1087</v>
      </c>
      <c r="C59" s="1094">
        <f t="shared" ref="C59" si="38">SUM(M59:P59)</f>
        <v>-32443235.211501088</v>
      </c>
      <c r="D59" s="1094">
        <f t="shared" ref="D59" si="39">SUM(S59:V59)</f>
        <v>0</v>
      </c>
      <c r="E59" s="1095"/>
      <c r="F59" s="1095"/>
      <c r="G59" s="787">
        <f t="shared" ref="G59" si="40">ROUND(SUM(C59:F59)/2,0)</f>
        <v>-16221618</v>
      </c>
      <c r="H59" s="787"/>
      <c r="I59" s="787">
        <f t="shared" ref="I59" si="41">(M59+S59)/2</f>
        <v>-1927753.2077297661</v>
      </c>
      <c r="J59" s="787">
        <f t="shared" ref="J59" si="42">(O59+U59)/2</f>
        <v>-10438357.982561246</v>
      </c>
      <c r="K59" s="787">
        <f t="shared" ref="K59" si="43">(P59+V59)/2</f>
        <v>-1927753.2077297661</v>
      </c>
      <c r="L59" s="787"/>
      <c r="M59" s="624">
        <v>-3855506.4154595323</v>
      </c>
      <c r="N59" s="624">
        <v>-3855506.4154595323</v>
      </c>
      <c r="O59" s="624">
        <v>-20876715.965122491</v>
      </c>
      <c r="P59" s="624">
        <v>-3855506.4154595323</v>
      </c>
      <c r="Q59" s="624">
        <v>0</v>
      </c>
      <c r="R59" s="787"/>
      <c r="S59" s="624"/>
      <c r="T59" s="624"/>
      <c r="U59" s="624"/>
      <c r="V59" s="624"/>
      <c r="W59" s="624"/>
    </row>
    <row r="60" spans="1:23">
      <c r="A60" s="804">
        <f t="shared" si="7"/>
        <v>5.329999999999993</v>
      </c>
      <c r="B60" s="1094" t="s">
        <v>1088</v>
      </c>
      <c r="C60" s="1094">
        <f>-E60</f>
        <v>32443235.211501088</v>
      </c>
      <c r="D60" s="1094">
        <f>-F60</f>
        <v>0</v>
      </c>
      <c r="E60" s="1095">
        <f>C59</f>
        <v>-32443235.211501088</v>
      </c>
      <c r="F60" s="1095">
        <f>D59</f>
        <v>0</v>
      </c>
      <c r="G60" s="787">
        <f t="shared" ref="G60:G65" si="44">ROUND(SUM(C60:F60)/2,0)</f>
        <v>0</v>
      </c>
      <c r="H60" s="787"/>
      <c r="I60" s="787"/>
      <c r="J60" s="787"/>
      <c r="K60" s="787"/>
      <c r="L60" s="787"/>
      <c r="M60" s="624"/>
      <c r="N60" s="624"/>
      <c r="O60" s="624"/>
      <c r="P60" s="624"/>
      <c r="Q60" s="624"/>
      <c r="R60" s="787"/>
      <c r="S60" s="624"/>
      <c r="T60" s="624"/>
      <c r="U60" s="624"/>
      <c r="V60" s="624"/>
      <c r="W60" s="624"/>
    </row>
    <row r="61" spans="1:23">
      <c r="A61" s="804">
        <f t="shared" si="7"/>
        <v>5.3399999999999928</v>
      </c>
      <c r="B61" s="624" t="s">
        <v>958</v>
      </c>
      <c r="C61" s="624">
        <f>-E61</f>
        <v>8318101.4400000004</v>
      </c>
      <c r="D61" s="624">
        <f>-F61</f>
        <v>6536519.8300000001</v>
      </c>
      <c r="E61" s="787">
        <v>-8318101.4400000004</v>
      </c>
      <c r="F61" s="787">
        <v>-6536519.8300000001</v>
      </c>
      <c r="G61" s="787">
        <f t="shared" si="44"/>
        <v>0</v>
      </c>
      <c r="H61" s="787"/>
      <c r="I61" s="787"/>
      <c r="J61" s="787"/>
      <c r="K61" s="787"/>
      <c r="L61" s="787"/>
      <c r="M61" s="787"/>
      <c r="N61" s="787"/>
      <c r="O61" s="787"/>
      <c r="P61" s="787"/>
      <c r="Q61" s="787"/>
      <c r="R61" s="787"/>
      <c r="S61" s="787"/>
      <c r="T61" s="787"/>
      <c r="U61" s="787"/>
      <c r="V61" s="787"/>
      <c r="W61" s="787"/>
    </row>
    <row r="62" spans="1:23">
      <c r="A62" s="804">
        <f t="shared" si="7"/>
        <v>5.3499999999999925</v>
      </c>
      <c r="B62" s="624" t="s">
        <v>961</v>
      </c>
      <c r="C62" s="624">
        <f t="shared" ref="C62:C64" si="45">-E62</f>
        <v>136661129.21000001</v>
      </c>
      <c r="D62" s="624">
        <f t="shared" ref="D62:D64" si="46">-F62</f>
        <v>132643685.38</v>
      </c>
      <c r="E62" s="787">
        <v>-136661129.21000001</v>
      </c>
      <c r="F62" s="787">
        <v>-132643685.38</v>
      </c>
      <c r="G62" s="787">
        <f t="shared" si="44"/>
        <v>0</v>
      </c>
      <c r="H62" s="787"/>
      <c r="I62" s="787"/>
      <c r="J62" s="787"/>
      <c r="K62" s="787"/>
      <c r="L62" s="787"/>
      <c r="M62" s="787"/>
      <c r="N62" s="787"/>
      <c r="O62" s="787"/>
      <c r="P62" s="787"/>
      <c r="Q62" s="787"/>
      <c r="R62" s="787"/>
      <c r="S62" s="787"/>
      <c r="T62" s="787"/>
      <c r="U62" s="787"/>
      <c r="V62" s="787"/>
      <c r="W62" s="787"/>
    </row>
    <row r="63" spans="1:23">
      <c r="A63" s="804">
        <f t="shared" si="7"/>
        <v>5.3599999999999923</v>
      </c>
      <c r="B63" s="624" t="s">
        <v>1419</v>
      </c>
      <c r="C63" s="624">
        <f t="shared" ref="C63" si="47">-E63</f>
        <v>0</v>
      </c>
      <c r="D63" s="624">
        <f t="shared" ref="D63" si="48">-F63</f>
        <v>15685834.699999999</v>
      </c>
      <c r="E63" s="787">
        <v>0</v>
      </c>
      <c r="F63" s="787">
        <v>-15685834.699999999</v>
      </c>
      <c r="G63" s="787"/>
      <c r="H63" s="787"/>
      <c r="I63" s="787"/>
      <c r="J63" s="787"/>
      <c r="K63" s="787"/>
      <c r="L63" s="787"/>
      <c r="M63" s="787"/>
      <c r="N63" s="787"/>
      <c r="O63" s="787"/>
      <c r="P63" s="787"/>
      <c r="Q63" s="787"/>
      <c r="R63" s="787"/>
      <c r="S63" s="787"/>
      <c r="T63" s="787"/>
      <c r="U63" s="787"/>
      <c r="V63" s="787"/>
      <c r="W63" s="787"/>
    </row>
    <row r="64" spans="1:23">
      <c r="A64" s="804">
        <f t="shared" si="7"/>
        <v>5.3699999999999921</v>
      </c>
      <c r="B64" s="624" t="s">
        <v>962</v>
      </c>
      <c r="C64" s="624">
        <f t="shared" si="45"/>
        <v>-209953839.13</v>
      </c>
      <c r="D64" s="624">
        <f t="shared" si="46"/>
        <v>-251898178.13</v>
      </c>
      <c r="E64" s="787">
        <v>209953839.13</v>
      </c>
      <c r="F64" s="787">
        <v>251898178.13</v>
      </c>
      <c r="G64" s="787">
        <f t="shared" si="44"/>
        <v>0</v>
      </c>
      <c r="H64" s="787"/>
      <c r="I64" s="787"/>
      <c r="J64" s="787"/>
      <c r="K64" s="787"/>
      <c r="L64" s="787"/>
      <c r="M64" s="787"/>
      <c r="N64" s="787"/>
      <c r="O64" s="787"/>
      <c r="P64" s="787"/>
      <c r="Q64" s="787"/>
      <c r="R64" s="787"/>
      <c r="S64" s="787"/>
      <c r="T64" s="787"/>
      <c r="U64" s="787"/>
      <c r="V64" s="787"/>
      <c r="W64" s="787"/>
    </row>
    <row r="65" spans="1:23">
      <c r="A65" s="804">
        <f t="shared" si="7"/>
        <v>5.3799999999999919</v>
      </c>
      <c r="B65" s="624" t="s">
        <v>1085</v>
      </c>
      <c r="C65" s="624">
        <f t="shared" ref="C65" si="49">-E65</f>
        <v>-7393877</v>
      </c>
      <c r="D65" s="624">
        <f t="shared" ref="D65" si="50">-F65</f>
        <v>-7013699</v>
      </c>
      <c r="E65" s="787">
        <v>7393877</v>
      </c>
      <c r="F65" s="787">
        <v>7013699</v>
      </c>
      <c r="G65" s="787">
        <f t="shared" si="44"/>
        <v>0</v>
      </c>
      <c r="H65" s="787"/>
      <c r="I65" s="787"/>
      <c r="J65" s="787"/>
      <c r="K65" s="787"/>
      <c r="L65" s="787"/>
      <c r="M65" s="787"/>
      <c r="N65" s="787"/>
      <c r="O65" s="787"/>
      <c r="P65" s="787"/>
      <c r="Q65" s="787"/>
      <c r="R65" s="787"/>
      <c r="S65" s="787"/>
      <c r="T65" s="787"/>
      <c r="U65" s="787"/>
      <c r="V65" s="787"/>
      <c r="W65" s="787"/>
    </row>
    <row r="66" spans="1:23">
      <c r="A66"/>
    </row>
    <row r="67" spans="1:23">
      <c r="A67" s="794"/>
      <c r="B67" s="781"/>
      <c r="C67" s="787"/>
      <c r="D67" s="787"/>
      <c r="E67" s="787"/>
      <c r="F67" s="787"/>
      <c r="G67" s="787"/>
      <c r="H67" s="787"/>
      <c r="I67" s="787"/>
      <c r="J67" s="787"/>
      <c r="K67" s="787"/>
      <c r="L67" s="787"/>
      <c r="M67" s="787"/>
      <c r="N67" s="787"/>
      <c r="O67" s="787"/>
      <c r="P67" s="787"/>
      <c r="Q67" s="787"/>
      <c r="R67" s="787"/>
      <c r="S67" s="787"/>
      <c r="T67" s="787"/>
      <c r="U67" s="787"/>
      <c r="V67" s="787"/>
      <c r="W67" s="787"/>
    </row>
    <row r="68" spans="1:23" ht="13.5" thickBot="1">
      <c r="A68" s="794">
        <v>6</v>
      </c>
      <c r="B68" t="s">
        <v>722</v>
      </c>
      <c r="C68" s="789">
        <f>SUM(C28:C67)</f>
        <v>1015205443.4800001</v>
      </c>
      <c r="D68" s="789">
        <f>SUM(D28:D67)</f>
        <v>1026165643.9500002</v>
      </c>
      <c r="E68" s="789">
        <f>SUM(E28:E67)</f>
        <v>39925250.268498898</v>
      </c>
      <c r="F68" s="789">
        <f>SUM(F28:F67)</f>
        <v>104045837.22</v>
      </c>
      <c r="G68" s="789">
        <f>SUM(G28:G67)</f>
        <v>1092671086</v>
      </c>
      <c r="H68" s="787"/>
      <c r="I68" s="789">
        <f>SUM(I28:I67)</f>
        <v>29089280.732270233</v>
      </c>
      <c r="J68" s="789">
        <f>SUM(J28:J67)</f>
        <v>250696642.65743881</v>
      </c>
      <c r="K68" s="789">
        <f>SUM(K28:K67)</f>
        <v>404971961.59227031</v>
      </c>
      <c r="L68" s="787"/>
      <c r="M68" s="789">
        <f>SUM(M28:M67)</f>
        <v>35402074.934540465</v>
      </c>
      <c r="N68" s="789">
        <f>SUM(N28:N67)</f>
        <v>401388717.03454041</v>
      </c>
      <c r="O68" s="789">
        <f>SUM(O28:O67)</f>
        <v>238707070.26487753</v>
      </c>
      <c r="P68" s="789">
        <f>SUM(P28:P67)</f>
        <v>379632831.51454049</v>
      </c>
      <c r="Q68" s="789">
        <f>SUM(Q28:Q67)</f>
        <v>0</v>
      </c>
      <c r="R68" s="787"/>
      <c r="S68" s="789">
        <f>SUM(S28:S67)</f>
        <v>22776486.530000012</v>
      </c>
      <c r="T68" s="789">
        <f>SUM(T28:T67)</f>
        <v>414437687.92000002</v>
      </c>
      <c r="U68" s="789">
        <f>SUM(U28:U67)</f>
        <v>262686215.05000004</v>
      </c>
      <c r="V68" s="789">
        <f>SUM(V28:V67)</f>
        <v>430311091.67000008</v>
      </c>
      <c r="W68" s="789">
        <f>SUM(W28:W67)</f>
        <v>0</v>
      </c>
    </row>
    <row r="69" spans="1:23" ht="13.5" thickTop="1">
      <c r="A69" s="794">
        <f>A68+1</f>
        <v>7</v>
      </c>
      <c r="B69" s="20" t="s">
        <v>735</v>
      </c>
      <c r="C69" s="790">
        <f>C33</f>
        <v>26035645.309999999</v>
      </c>
      <c r="D69" s="790">
        <f>D33</f>
        <v>25179941.300000001</v>
      </c>
      <c r="E69" s="790">
        <f t="shared" ref="E69:K69" si="51">E33</f>
        <v>0</v>
      </c>
      <c r="F69" s="790">
        <f t="shared" si="51"/>
        <v>0</v>
      </c>
      <c r="G69" s="790">
        <f t="shared" si="51"/>
        <v>25607793</v>
      </c>
      <c r="H69" s="787"/>
      <c r="I69" s="790">
        <f t="shared" si="51"/>
        <v>9093052.2899999991</v>
      </c>
      <c r="J69" s="790">
        <f t="shared" si="51"/>
        <v>1693.81</v>
      </c>
      <c r="K69" s="790">
        <f t="shared" si="51"/>
        <v>189446.42499999999</v>
      </c>
      <c r="L69" s="790"/>
      <c r="M69" s="790">
        <f>M33</f>
        <v>8727053.3699999992</v>
      </c>
      <c r="N69" s="790">
        <f t="shared" ref="N69:Q69" si="52">N33</f>
        <v>17118289.710000001</v>
      </c>
      <c r="O69" s="790">
        <f t="shared" si="52"/>
        <v>1693.81</v>
      </c>
      <c r="P69" s="790">
        <f t="shared" si="52"/>
        <v>188608.42</v>
      </c>
      <c r="Q69" s="790">
        <f t="shared" si="52"/>
        <v>0</v>
      </c>
      <c r="R69" s="787"/>
      <c r="S69" s="790">
        <f>S33</f>
        <v>9459051.2100000009</v>
      </c>
      <c r="T69" s="790">
        <f t="shared" ref="T69:W69" si="53">T33</f>
        <v>15528911.85</v>
      </c>
      <c r="U69" s="790">
        <f t="shared" si="53"/>
        <v>1693.81</v>
      </c>
      <c r="V69" s="790">
        <f t="shared" si="53"/>
        <v>190284.43</v>
      </c>
      <c r="W69" s="790">
        <f t="shared" si="53"/>
        <v>0</v>
      </c>
    </row>
    <row r="70" spans="1:23">
      <c r="A70" s="794"/>
      <c r="C70" s="787"/>
      <c r="D70" s="787"/>
      <c r="E70" s="787"/>
      <c r="F70" s="787"/>
      <c r="G70" s="787"/>
      <c r="H70" s="787"/>
      <c r="I70" s="787"/>
      <c r="J70" s="787"/>
      <c r="K70" s="787"/>
      <c r="L70" s="787"/>
      <c r="M70" s="787"/>
      <c r="N70" s="787"/>
      <c r="O70" s="787"/>
      <c r="P70" s="787"/>
      <c r="Q70" s="787"/>
      <c r="R70" s="787"/>
      <c r="S70" s="787"/>
      <c r="T70" s="787"/>
      <c r="U70" s="787"/>
      <c r="V70" s="787"/>
      <c r="W70" s="787"/>
    </row>
    <row r="71" spans="1:23">
      <c r="A71" s="794">
        <v>8</v>
      </c>
      <c r="B71" t="s">
        <v>723</v>
      </c>
      <c r="C71" s="787" t="s">
        <v>115</v>
      </c>
      <c r="D71" s="787"/>
      <c r="E71" s="787"/>
      <c r="F71" s="787"/>
      <c r="G71" s="787"/>
      <c r="H71" s="787"/>
      <c r="I71" s="787"/>
      <c r="J71" s="787"/>
      <c r="K71" s="787"/>
      <c r="L71" s="787"/>
      <c r="M71" s="787"/>
      <c r="N71" s="787"/>
      <c r="O71" s="787"/>
      <c r="P71" s="787"/>
      <c r="Q71" s="787"/>
      <c r="R71" s="787"/>
      <c r="S71" s="787"/>
      <c r="T71" s="787"/>
      <c r="U71" s="787"/>
      <c r="V71" s="787"/>
      <c r="W71" s="787"/>
    </row>
    <row r="72" spans="1:23">
      <c r="A72" s="794"/>
      <c r="B72" s="781"/>
      <c r="C72" s="787"/>
      <c r="D72" s="787"/>
      <c r="E72" s="787"/>
      <c r="F72" s="787"/>
      <c r="G72" s="787"/>
      <c r="H72" s="787"/>
      <c r="I72" s="787"/>
      <c r="J72" s="787"/>
      <c r="K72" s="787"/>
      <c r="L72" s="787"/>
      <c r="M72" s="787"/>
      <c r="N72" s="787"/>
      <c r="O72" s="787"/>
      <c r="P72" s="787"/>
      <c r="Q72" s="787"/>
      <c r="R72" s="787"/>
      <c r="S72" s="787"/>
      <c r="T72" s="787"/>
      <c r="U72" s="787"/>
      <c r="V72" s="787"/>
      <c r="W72" s="787"/>
    </row>
    <row r="73" spans="1:23">
      <c r="A73" s="804">
        <f>9+0.01</f>
        <v>9.01</v>
      </c>
      <c r="B73" s="624" t="s">
        <v>1284</v>
      </c>
      <c r="C73" s="787">
        <f t="shared" ref="C73:C137" si="54">SUM(M73:Q73)</f>
        <v>2715927</v>
      </c>
      <c r="D73" s="787">
        <f t="shared" ref="D73:D137" si="55">SUM(S73:W73)</f>
        <v>2576431</v>
      </c>
      <c r="E73" s="787"/>
      <c r="F73" s="787"/>
      <c r="G73" s="787">
        <f t="shared" ref="G73:G137" si="56">ROUND(SUM(C73:F73)/2,0)</f>
        <v>2646179</v>
      </c>
      <c r="H73" s="787"/>
      <c r="I73" s="787">
        <f t="shared" ref="I73:I137" si="57">(M73+S73)/2</f>
        <v>2584433.5</v>
      </c>
      <c r="J73" s="787">
        <f t="shared" ref="J73:J137" si="58">(O73+U73)/2</f>
        <v>16095.5</v>
      </c>
      <c r="K73" s="787">
        <f t="shared" ref="K73:K137" si="59">(P73+V73)/2</f>
        <v>261087.5</v>
      </c>
      <c r="L73" s="787"/>
      <c r="M73" s="624">
        <v>2652630</v>
      </c>
      <c r="N73" s="624">
        <v>-221200</v>
      </c>
      <c r="O73" s="624">
        <v>16520</v>
      </c>
      <c r="P73" s="624">
        <v>267977</v>
      </c>
      <c r="Q73" s="624"/>
      <c r="R73" s="787"/>
      <c r="S73" s="624">
        <v>2516237</v>
      </c>
      <c r="T73" s="624">
        <v>-209675</v>
      </c>
      <c r="U73" s="624">
        <v>15671</v>
      </c>
      <c r="V73" s="624">
        <v>254198</v>
      </c>
      <c r="W73" s="624"/>
    </row>
    <row r="74" spans="1:23">
      <c r="A74" s="804">
        <f t="shared" ref="A74:A164" si="60">A73+0.01</f>
        <v>9.02</v>
      </c>
      <c r="B74" s="624" t="s">
        <v>1285</v>
      </c>
      <c r="C74" s="787">
        <f t="shared" si="54"/>
        <v>-3866616.9899999998</v>
      </c>
      <c r="D74" s="787">
        <f t="shared" si="55"/>
        <v>-1155370.9900000002</v>
      </c>
      <c r="E74" s="787"/>
      <c r="F74" s="787"/>
      <c r="G74" s="787">
        <f t="shared" si="56"/>
        <v>-2510994</v>
      </c>
      <c r="H74" s="787"/>
      <c r="I74" s="787">
        <f t="shared" si="57"/>
        <v>26823.4</v>
      </c>
      <c r="J74" s="787">
        <f t="shared" si="58"/>
        <v>-2540770.84</v>
      </c>
      <c r="K74" s="787">
        <f t="shared" si="59"/>
        <v>-593.6</v>
      </c>
      <c r="L74" s="787"/>
      <c r="M74" s="624">
        <v>53647.4</v>
      </c>
      <c r="N74" s="624">
        <v>7093.05</v>
      </c>
      <c r="O74" s="624">
        <v>-3926172.34</v>
      </c>
      <c r="P74" s="624">
        <v>-1185.1000000000001</v>
      </c>
      <c r="Q74" s="624"/>
      <c r="R74" s="787"/>
      <c r="S74" s="624">
        <v>-0.6</v>
      </c>
      <c r="T74" s="624">
        <v>1.05</v>
      </c>
      <c r="U74" s="624">
        <v>-1155369.3400000001</v>
      </c>
      <c r="V74" s="624">
        <v>-2.1</v>
      </c>
      <c r="W74" s="624"/>
    </row>
    <row r="75" spans="1:23">
      <c r="A75" s="804">
        <f t="shared" si="60"/>
        <v>9.0299999999999994</v>
      </c>
      <c r="B75" s="624" t="s">
        <v>1191</v>
      </c>
      <c r="C75" s="787">
        <f t="shared" si="54"/>
        <v>1696.69</v>
      </c>
      <c r="D75" s="787">
        <f t="shared" si="55"/>
        <v>0</v>
      </c>
      <c r="E75" s="787"/>
      <c r="F75" s="787"/>
      <c r="G75" s="787">
        <f t="shared" si="56"/>
        <v>848</v>
      </c>
      <c r="H75" s="787"/>
      <c r="I75" s="787">
        <f t="shared" si="57"/>
        <v>793.95500000000004</v>
      </c>
      <c r="J75" s="787">
        <f t="shared" si="58"/>
        <v>0</v>
      </c>
      <c r="K75" s="787">
        <f t="shared" si="59"/>
        <v>5.88</v>
      </c>
      <c r="L75" s="787"/>
      <c r="M75" s="624">
        <v>1587.91</v>
      </c>
      <c r="N75" s="624">
        <v>97.02</v>
      </c>
      <c r="O75" s="624"/>
      <c r="P75" s="624">
        <v>11.76</v>
      </c>
      <c r="Q75" s="624"/>
      <c r="R75" s="787"/>
      <c r="S75" s="624"/>
      <c r="T75" s="624"/>
      <c r="U75" s="624"/>
      <c r="V75" s="624"/>
      <c r="W75" s="624"/>
    </row>
    <row r="76" spans="1:23">
      <c r="A76" s="804">
        <f t="shared" si="60"/>
        <v>9.0399999999999991</v>
      </c>
      <c r="B76" s="624" t="s">
        <v>1192</v>
      </c>
      <c r="C76" s="787">
        <f t="shared" si="54"/>
        <v>62.370000000000005</v>
      </c>
      <c r="D76" s="787">
        <f t="shared" si="55"/>
        <v>0</v>
      </c>
      <c r="E76" s="787"/>
      <c r="F76" s="787"/>
      <c r="G76" s="787">
        <f t="shared" si="56"/>
        <v>31</v>
      </c>
      <c r="H76" s="787"/>
      <c r="I76" s="787">
        <f t="shared" si="57"/>
        <v>31.185000000000002</v>
      </c>
      <c r="J76" s="787">
        <f t="shared" si="58"/>
        <v>0</v>
      </c>
      <c r="K76" s="787">
        <f t="shared" si="59"/>
        <v>0</v>
      </c>
      <c r="L76" s="787"/>
      <c r="M76" s="624">
        <v>62.370000000000005</v>
      </c>
      <c r="N76" s="624"/>
      <c r="O76" s="624"/>
      <c r="P76" s="624"/>
      <c r="Q76" s="624"/>
      <c r="R76" s="787"/>
      <c r="S76" s="624"/>
      <c r="T76" s="624"/>
      <c r="U76" s="624"/>
      <c r="V76" s="624"/>
      <c r="W76" s="624"/>
    </row>
    <row r="77" spans="1:23">
      <c r="A77" s="804">
        <f t="shared" si="60"/>
        <v>9.0499999999999989</v>
      </c>
      <c r="B77" s="624" t="s">
        <v>1193</v>
      </c>
      <c r="C77" s="787">
        <f t="shared" si="54"/>
        <v>0</v>
      </c>
      <c r="D77" s="787">
        <f t="shared" si="55"/>
        <v>0</v>
      </c>
      <c r="E77" s="787"/>
      <c r="F77" s="787"/>
      <c r="G77" s="787">
        <f t="shared" si="56"/>
        <v>0</v>
      </c>
      <c r="H77" s="787"/>
      <c r="I77" s="787">
        <f t="shared" si="57"/>
        <v>2944.13</v>
      </c>
      <c r="J77" s="787">
        <f t="shared" si="58"/>
        <v>0</v>
      </c>
      <c r="K77" s="787">
        <f t="shared" si="59"/>
        <v>3290.915</v>
      </c>
      <c r="L77" s="787"/>
      <c r="M77" s="624">
        <v>5888.26</v>
      </c>
      <c r="N77" s="624">
        <v>-12470.09</v>
      </c>
      <c r="O77" s="624"/>
      <c r="P77" s="624">
        <v>6581.83</v>
      </c>
      <c r="Q77" s="624"/>
      <c r="R77" s="787"/>
      <c r="S77" s="624"/>
      <c r="T77" s="624"/>
      <c r="U77" s="624"/>
      <c r="V77" s="624"/>
      <c r="W77" s="624"/>
    </row>
    <row r="78" spans="1:23">
      <c r="A78" s="804">
        <f t="shared" si="60"/>
        <v>9.0599999999999987</v>
      </c>
      <c r="B78" s="624" t="s">
        <v>1286</v>
      </c>
      <c r="C78" s="787">
        <f t="shared" si="54"/>
        <v>2070917.47</v>
      </c>
      <c r="D78" s="787">
        <f t="shared" si="55"/>
        <v>0.31</v>
      </c>
      <c r="E78" s="787"/>
      <c r="F78" s="787"/>
      <c r="G78" s="787">
        <f t="shared" si="56"/>
        <v>1035459</v>
      </c>
      <c r="H78" s="787"/>
      <c r="I78" s="787">
        <f t="shared" si="57"/>
        <v>1035458.89</v>
      </c>
      <c r="J78" s="787">
        <f t="shared" si="58"/>
        <v>0</v>
      </c>
      <c r="K78" s="787">
        <f t="shared" si="59"/>
        <v>0</v>
      </c>
      <c r="L78" s="787"/>
      <c r="M78" s="624">
        <v>2070917.47</v>
      </c>
      <c r="N78" s="624"/>
      <c r="O78" s="624"/>
      <c r="P78" s="624"/>
      <c r="Q78" s="624"/>
      <c r="R78" s="787"/>
      <c r="S78" s="624">
        <v>0.31</v>
      </c>
      <c r="T78" s="624"/>
      <c r="U78" s="624"/>
      <c r="V78" s="624"/>
      <c r="W78" s="624"/>
    </row>
    <row r="79" spans="1:23">
      <c r="A79" s="804">
        <f t="shared" si="60"/>
        <v>9.0699999999999985</v>
      </c>
      <c r="B79" s="624" t="s">
        <v>1287</v>
      </c>
      <c r="C79" s="787">
        <f t="shared" si="54"/>
        <v>-3646624.38</v>
      </c>
      <c r="D79" s="787">
        <f t="shared" si="55"/>
        <v>-5667082.9299999997</v>
      </c>
      <c r="E79" s="787"/>
      <c r="F79" s="787"/>
      <c r="G79" s="787">
        <f t="shared" si="56"/>
        <v>-4656854</v>
      </c>
      <c r="H79" s="787"/>
      <c r="I79" s="787">
        <f t="shared" si="57"/>
        <v>-4661617.5049999999</v>
      </c>
      <c r="J79" s="787">
        <f t="shared" si="58"/>
        <v>0</v>
      </c>
      <c r="K79" s="787">
        <f t="shared" si="59"/>
        <v>4763.8500000000004</v>
      </c>
      <c r="L79" s="787"/>
      <c r="M79" s="624">
        <v>-3646624.38</v>
      </c>
      <c r="N79" s="624"/>
      <c r="O79" s="624"/>
      <c r="P79" s="624"/>
      <c r="Q79" s="624"/>
      <c r="R79" s="787"/>
      <c r="S79" s="624">
        <v>-5676610.6299999999</v>
      </c>
      <c r="T79" s="624"/>
      <c r="U79" s="624"/>
      <c r="V79" s="624">
        <v>9527.7000000000007</v>
      </c>
      <c r="W79" s="624"/>
    </row>
    <row r="80" spans="1:23">
      <c r="A80" s="804">
        <f t="shared" si="60"/>
        <v>9.0799999999999983</v>
      </c>
      <c r="B80" s="624" t="s">
        <v>1288</v>
      </c>
      <c r="C80" s="787">
        <f t="shared" si="54"/>
        <v>67603.39</v>
      </c>
      <c r="D80" s="787">
        <f t="shared" si="55"/>
        <v>7.0000000000000007E-2</v>
      </c>
      <c r="E80" s="787"/>
      <c r="F80" s="787"/>
      <c r="G80" s="787">
        <f t="shared" si="56"/>
        <v>33802</v>
      </c>
      <c r="H80" s="787"/>
      <c r="I80" s="787">
        <f t="shared" si="57"/>
        <v>0</v>
      </c>
      <c r="J80" s="787">
        <f t="shared" si="58"/>
        <v>0</v>
      </c>
      <c r="K80" s="787">
        <f t="shared" si="59"/>
        <v>33801.730000000003</v>
      </c>
      <c r="L80" s="787"/>
      <c r="M80" s="624"/>
      <c r="N80" s="624"/>
      <c r="O80" s="624"/>
      <c r="P80" s="624">
        <v>67603.39</v>
      </c>
      <c r="Q80" s="624"/>
      <c r="R80" s="787"/>
      <c r="S80" s="624"/>
      <c r="T80" s="624"/>
      <c r="U80" s="624"/>
      <c r="V80" s="624">
        <v>7.0000000000000007E-2</v>
      </c>
      <c r="W80" s="624"/>
    </row>
    <row r="81" spans="1:23">
      <c r="A81" s="804">
        <f t="shared" si="60"/>
        <v>9.0899999999999981</v>
      </c>
      <c r="B81" s="624" t="s">
        <v>1289</v>
      </c>
      <c r="C81" s="787">
        <f t="shared" si="54"/>
        <v>-0.31</v>
      </c>
      <c r="D81" s="787">
        <f t="shared" si="55"/>
        <v>-0.31</v>
      </c>
      <c r="E81" s="787"/>
      <c r="F81" s="787"/>
      <c r="G81" s="787">
        <f t="shared" si="56"/>
        <v>0</v>
      </c>
      <c r="H81" s="787"/>
      <c r="I81" s="787">
        <f t="shared" si="57"/>
        <v>0</v>
      </c>
      <c r="J81" s="787">
        <f t="shared" si="58"/>
        <v>-0.31</v>
      </c>
      <c r="K81" s="787">
        <f t="shared" si="59"/>
        <v>0</v>
      </c>
      <c r="L81" s="787"/>
      <c r="M81" s="624"/>
      <c r="N81" s="624"/>
      <c r="O81" s="624">
        <v>-0.31</v>
      </c>
      <c r="P81" s="624"/>
      <c r="Q81" s="624"/>
      <c r="R81" s="787"/>
      <c r="S81" s="624"/>
      <c r="T81" s="624"/>
      <c r="U81" s="624">
        <v>-0.31</v>
      </c>
      <c r="V81" s="624"/>
      <c r="W81" s="624"/>
    </row>
    <row r="82" spans="1:23">
      <c r="A82" s="804">
        <f t="shared" si="60"/>
        <v>9.0999999999999979</v>
      </c>
      <c r="B82" s="624" t="s">
        <v>1223</v>
      </c>
      <c r="C82" s="787">
        <f t="shared" si="54"/>
        <v>1427274.12</v>
      </c>
      <c r="D82" s="787">
        <f t="shared" si="55"/>
        <v>0</v>
      </c>
      <c r="E82" s="787"/>
      <c r="F82" s="787"/>
      <c r="G82" s="787">
        <f t="shared" si="56"/>
        <v>713637</v>
      </c>
      <c r="H82" s="787"/>
      <c r="I82" s="787">
        <f t="shared" si="57"/>
        <v>713637.06</v>
      </c>
      <c r="J82" s="787">
        <f t="shared" si="58"/>
        <v>0</v>
      </c>
      <c r="K82" s="787">
        <f t="shared" si="59"/>
        <v>0</v>
      </c>
      <c r="L82" s="787"/>
      <c r="M82" s="624">
        <v>1427274.12</v>
      </c>
      <c r="N82" s="624"/>
      <c r="O82" s="624"/>
      <c r="P82" s="624"/>
      <c r="Q82" s="624"/>
      <c r="R82" s="787"/>
      <c r="S82" s="624"/>
      <c r="T82" s="624"/>
      <c r="U82" s="624"/>
      <c r="V82" s="624"/>
      <c r="W82" s="624"/>
    </row>
    <row r="83" spans="1:23">
      <c r="A83" s="804">
        <f t="shared" si="60"/>
        <v>9.1099999999999977</v>
      </c>
      <c r="B83" s="624" t="s">
        <v>1290</v>
      </c>
      <c r="C83" s="787">
        <f t="shared" si="54"/>
        <v>5576559.5300000003</v>
      </c>
      <c r="D83" s="787">
        <f t="shared" si="55"/>
        <v>9122408.5</v>
      </c>
      <c r="E83" s="787"/>
      <c r="F83" s="787"/>
      <c r="G83" s="787">
        <f t="shared" si="56"/>
        <v>7349484</v>
      </c>
      <c r="H83" s="787"/>
      <c r="I83" s="787">
        <f t="shared" si="57"/>
        <v>0</v>
      </c>
      <c r="J83" s="787">
        <f t="shared" si="58"/>
        <v>0</v>
      </c>
      <c r="K83" s="787">
        <f t="shared" si="59"/>
        <v>7349484.0150000006</v>
      </c>
      <c r="L83" s="787"/>
      <c r="M83" s="624"/>
      <c r="N83" s="624"/>
      <c r="O83" s="624"/>
      <c r="P83" s="624">
        <v>5576559.5300000003</v>
      </c>
      <c r="Q83" s="624"/>
      <c r="R83" s="787"/>
      <c r="S83" s="624"/>
      <c r="T83" s="624"/>
      <c r="U83" s="624"/>
      <c r="V83" s="624">
        <v>9122408.5</v>
      </c>
      <c r="W83" s="624"/>
    </row>
    <row r="84" spans="1:23">
      <c r="A84" s="804">
        <f t="shared" si="60"/>
        <v>9.1199999999999974</v>
      </c>
      <c r="B84" s="624" t="s">
        <v>1291</v>
      </c>
      <c r="C84" s="787">
        <f t="shared" si="54"/>
        <v>259132.56</v>
      </c>
      <c r="D84" s="787">
        <f t="shared" si="55"/>
        <v>140974.41</v>
      </c>
      <c r="E84" s="787"/>
      <c r="F84" s="787"/>
      <c r="G84" s="787">
        <f t="shared" si="56"/>
        <v>200053</v>
      </c>
      <c r="H84" s="787"/>
      <c r="I84" s="787">
        <f t="shared" si="57"/>
        <v>0</v>
      </c>
      <c r="J84" s="787">
        <f t="shared" si="58"/>
        <v>0</v>
      </c>
      <c r="K84" s="787">
        <f t="shared" si="59"/>
        <v>200053.48499999999</v>
      </c>
      <c r="L84" s="787"/>
      <c r="M84" s="624"/>
      <c r="N84" s="624"/>
      <c r="O84" s="624"/>
      <c r="P84" s="624">
        <v>259132.56</v>
      </c>
      <c r="Q84" s="624"/>
      <c r="R84" s="787"/>
      <c r="S84" s="624"/>
      <c r="T84" s="624"/>
      <c r="U84" s="624"/>
      <c r="V84" s="624">
        <v>140974.41</v>
      </c>
      <c r="W84" s="624"/>
    </row>
    <row r="85" spans="1:23">
      <c r="A85" s="804">
        <f t="shared" si="60"/>
        <v>9.1299999999999972</v>
      </c>
      <c r="B85" s="624" t="s">
        <v>1292</v>
      </c>
      <c r="C85" s="787">
        <f t="shared" si="54"/>
        <v>18629.43</v>
      </c>
      <c r="D85" s="787">
        <f t="shared" si="55"/>
        <v>24404.43</v>
      </c>
      <c r="E85" s="787"/>
      <c r="F85" s="787"/>
      <c r="G85" s="787">
        <f t="shared" si="56"/>
        <v>21517</v>
      </c>
      <c r="H85" s="787"/>
      <c r="I85" s="787">
        <f t="shared" si="57"/>
        <v>0</v>
      </c>
      <c r="J85" s="787">
        <f t="shared" si="58"/>
        <v>0</v>
      </c>
      <c r="K85" s="787">
        <f t="shared" si="59"/>
        <v>21516.93</v>
      </c>
      <c r="L85" s="787"/>
      <c r="M85" s="624"/>
      <c r="N85" s="624"/>
      <c r="O85" s="624"/>
      <c r="P85" s="624">
        <v>18629.43</v>
      </c>
      <c r="Q85" s="624"/>
      <c r="R85" s="787"/>
      <c r="S85" s="624"/>
      <c r="T85" s="624"/>
      <c r="U85" s="624"/>
      <c r="V85" s="624">
        <v>24404.43</v>
      </c>
      <c r="W85" s="624"/>
    </row>
    <row r="86" spans="1:23">
      <c r="A86" s="804">
        <f t="shared" si="60"/>
        <v>9.139999999999997</v>
      </c>
      <c r="B86" s="624" t="s">
        <v>1293</v>
      </c>
      <c r="C86" s="787">
        <f t="shared" si="54"/>
        <v>34.270000000000003</v>
      </c>
      <c r="D86" s="787">
        <f t="shared" si="55"/>
        <v>34.270000000000003</v>
      </c>
      <c r="E86" s="787"/>
      <c r="F86" s="787"/>
      <c r="G86" s="787">
        <f t="shared" si="56"/>
        <v>34</v>
      </c>
      <c r="H86" s="787"/>
      <c r="I86" s="787">
        <f t="shared" si="57"/>
        <v>0</v>
      </c>
      <c r="J86" s="787">
        <f t="shared" si="58"/>
        <v>0</v>
      </c>
      <c r="K86" s="787">
        <f t="shared" si="59"/>
        <v>0</v>
      </c>
      <c r="L86" s="787"/>
      <c r="M86" s="624"/>
      <c r="N86" s="624">
        <v>34.270000000000003</v>
      </c>
      <c r="O86" s="624"/>
      <c r="P86" s="624"/>
      <c r="Q86" s="624"/>
      <c r="R86" s="787"/>
      <c r="S86" s="624"/>
      <c r="T86" s="624">
        <v>34.270000000000003</v>
      </c>
      <c r="U86" s="624"/>
      <c r="V86" s="624"/>
      <c r="W86" s="624"/>
    </row>
    <row r="87" spans="1:23">
      <c r="A87" s="804">
        <f t="shared" si="60"/>
        <v>9.1499999999999968</v>
      </c>
      <c r="B87" s="624" t="s">
        <v>1294</v>
      </c>
      <c r="C87" s="787">
        <f t="shared" si="54"/>
        <v>0.21</v>
      </c>
      <c r="D87" s="787">
        <f t="shared" si="55"/>
        <v>0.21</v>
      </c>
      <c r="E87" s="787"/>
      <c r="F87" s="787"/>
      <c r="G87" s="787">
        <f t="shared" si="56"/>
        <v>0</v>
      </c>
      <c r="H87" s="787"/>
      <c r="I87" s="787">
        <f t="shared" si="57"/>
        <v>0</v>
      </c>
      <c r="J87" s="787">
        <f t="shared" si="58"/>
        <v>0</v>
      </c>
      <c r="K87" s="787">
        <f t="shared" si="59"/>
        <v>0.21</v>
      </c>
      <c r="L87" s="787"/>
      <c r="M87" s="624"/>
      <c r="N87" s="624"/>
      <c r="O87" s="624"/>
      <c r="P87" s="624">
        <v>0.21</v>
      </c>
      <c r="Q87" s="624"/>
      <c r="R87" s="787"/>
      <c r="S87" s="624"/>
      <c r="T87" s="624"/>
      <c r="U87" s="624"/>
      <c r="V87" s="624">
        <v>0.21</v>
      </c>
      <c r="W87" s="624"/>
    </row>
    <row r="88" spans="1:23">
      <c r="A88" s="804">
        <f t="shared" si="60"/>
        <v>9.1599999999999966</v>
      </c>
      <c r="B88" s="624" t="s">
        <v>1295</v>
      </c>
      <c r="C88" s="787">
        <f t="shared" si="54"/>
        <v>505.6</v>
      </c>
      <c r="D88" s="787">
        <f t="shared" si="55"/>
        <v>505.6</v>
      </c>
      <c r="E88" s="787"/>
      <c r="F88" s="787"/>
      <c r="G88" s="787">
        <f t="shared" si="56"/>
        <v>506</v>
      </c>
      <c r="H88" s="787"/>
      <c r="I88" s="787">
        <f t="shared" si="57"/>
        <v>505.6</v>
      </c>
      <c r="J88" s="787">
        <f t="shared" si="58"/>
        <v>0</v>
      </c>
      <c r="K88" s="787">
        <f t="shared" si="59"/>
        <v>0</v>
      </c>
      <c r="L88" s="787"/>
      <c r="M88" s="624">
        <v>505.6</v>
      </c>
      <c r="N88" s="624"/>
      <c r="O88" s="624"/>
      <c r="P88" s="624"/>
      <c r="Q88" s="624"/>
      <c r="R88" s="787"/>
      <c r="S88" s="624">
        <v>505.6</v>
      </c>
      <c r="T88" s="624"/>
      <c r="U88" s="624"/>
      <c r="V88" s="624"/>
      <c r="W88" s="624"/>
    </row>
    <row r="89" spans="1:23">
      <c r="A89" s="804">
        <f t="shared" si="60"/>
        <v>9.1699999999999964</v>
      </c>
      <c r="B89" s="624" t="s">
        <v>1227</v>
      </c>
      <c r="C89" s="787">
        <f t="shared" ref="C89" si="61">SUM(M89:Q89)</f>
        <v>0</v>
      </c>
      <c r="D89" s="787">
        <f t="shared" ref="D89" si="62">SUM(S89:W89)</f>
        <v>-9527.7000000000007</v>
      </c>
      <c r="E89" s="787"/>
      <c r="F89" s="787"/>
      <c r="G89" s="787">
        <f t="shared" ref="G89" si="63">ROUND(SUM(C89:F89)/2,0)</f>
        <v>-4764</v>
      </c>
      <c r="H89" s="787"/>
      <c r="I89" s="787">
        <f t="shared" ref="I89" si="64">(M89+S89)/2</f>
        <v>0</v>
      </c>
      <c r="J89" s="787">
        <f t="shared" ref="J89" si="65">(O89+U89)/2</f>
        <v>0</v>
      </c>
      <c r="K89" s="787">
        <f t="shared" ref="K89" si="66">(P89+V89)/2</f>
        <v>-4763.8500000000004</v>
      </c>
      <c r="L89" s="787"/>
      <c r="M89" s="624"/>
      <c r="N89" s="624"/>
      <c r="O89" s="624"/>
      <c r="P89" s="624"/>
      <c r="Q89" s="624"/>
      <c r="R89" s="787"/>
      <c r="S89" s="624"/>
      <c r="T89" s="624"/>
      <c r="U89" s="624"/>
      <c r="V89" s="624">
        <v>-9527.7000000000007</v>
      </c>
      <c r="W89" s="624"/>
    </row>
    <row r="90" spans="1:23">
      <c r="A90" s="804">
        <f t="shared" si="60"/>
        <v>9.1799999999999962</v>
      </c>
      <c r="B90" s="624" t="s">
        <v>1296</v>
      </c>
      <c r="C90" s="791">
        <f t="shared" si="54"/>
        <v>0.32</v>
      </c>
      <c r="D90" s="791">
        <f t="shared" si="55"/>
        <v>0.32</v>
      </c>
      <c r="E90" s="791"/>
      <c r="F90" s="791"/>
      <c r="G90" s="791">
        <f t="shared" si="56"/>
        <v>0</v>
      </c>
      <c r="H90" s="791"/>
      <c r="I90" s="791">
        <f t="shared" si="57"/>
        <v>0.32</v>
      </c>
      <c r="J90" s="791">
        <f t="shared" si="58"/>
        <v>0</v>
      </c>
      <c r="K90" s="791">
        <f t="shared" si="59"/>
        <v>0</v>
      </c>
      <c r="L90" s="791"/>
      <c r="M90" s="624">
        <v>0.32</v>
      </c>
      <c r="N90" s="624"/>
      <c r="O90" s="624"/>
      <c r="P90" s="624"/>
      <c r="Q90" s="624"/>
      <c r="R90" s="791"/>
      <c r="S90" s="624">
        <v>0.32</v>
      </c>
      <c r="T90" s="624"/>
      <c r="U90" s="624"/>
      <c r="V90" s="624"/>
      <c r="W90" s="624"/>
    </row>
    <row r="91" spans="1:23">
      <c r="A91" s="804">
        <f t="shared" si="60"/>
        <v>9.1899999999999959</v>
      </c>
      <c r="B91" s="624" t="s">
        <v>1297</v>
      </c>
      <c r="C91" s="787">
        <f t="shared" si="54"/>
        <v>-5024.67</v>
      </c>
      <c r="D91" s="787">
        <f t="shared" si="55"/>
        <v>5024.67</v>
      </c>
      <c r="E91" s="787"/>
      <c r="F91" s="787"/>
      <c r="G91" s="787">
        <f t="shared" si="56"/>
        <v>0</v>
      </c>
      <c r="H91" s="787"/>
      <c r="I91" s="787">
        <f t="shared" si="57"/>
        <v>0</v>
      </c>
      <c r="J91" s="787">
        <f t="shared" si="58"/>
        <v>0</v>
      </c>
      <c r="K91" s="787">
        <f t="shared" si="59"/>
        <v>0</v>
      </c>
      <c r="L91" s="787"/>
      <c r="M91" s="624">
        <v>-5024.67</v>
      </c>
      <c r="N91" s="624"/>
      <c r="O91" s="624"/>
      <c r="P91" s="624"/>
      <c r="Q91" s="624"/>
      <c r="R91" s="787"/>
      <c r="S91" s="624">
        <v>5024.67</v>
      </c>
      <c r="T91" s="624"/>
      <c r="U91" s="624"/>
      <c r="V91" s="624"/>
      <c r="W91" s="624"/>
    </row>
    <row r="92" spans="1:23">
      <c r="A92" s="804">
        <f t="shared" si="60"/>
        <v>9.1999999999999957</v>
      </c>
      <c r="B92" s="624" t="s">
        <v>1298</v>
      </c>
      <c r="C92" s="787">
        <f t="shared" si="54"/>
        <v>165048.03</v>
      </c>
      <c r="D92" s="787">
        <f t="shared" si="55"/>
        <v>0</v>
      </c>
      <c r="E92" s="787"/>
      <c r="F92" s="787"/>
      <c r="G92" s="787">
        <f t="shared" si="56"/>
        <v>82524</v>
      </c>
      <c r="H92" s="787"/>
      <c r="I92" s="787">
        <f t="shared" si="57"/>
        <v>82524.014999999999</v>
      </c>
      <c r="J92" s="787">
        <f t="shared" si="58"/>
        <v>0</v>
      </c>
      <c r="K92" s="787">
        <f t="shared" si="59"/>
        <v>0</v>
      </c>
      <c r="L92" s="787"/>
      <c r="M92" s="624">
        <v>165048.03</v>
      </c>
      <c r="N92" s="624"/>
      <c r="O92" s="624"/>
      <c r="P92" s="624"/>
      <c r="Q92" s="624"/>
      <c r="R92" s="787"/>
      <c r="S92" s="624"/>
      <c r="T92" s="624"/>
      <c r="U92" s="624"/>
      <c r="V92" s="624"/>
      <c r="W92" s="624"/>
    </row>
    <row r="93" spans="1:23">
      <c r="A93" s="804">
        <f t="shared" si="60"/>
        <v>9.2099999999999955</v>
      </c>
      <c r="B93" s="624" t="s">
        <v>1299</v>
      </c>
      <c r="C93" s="787">
        <f t="shared" si="54"/>
        <v>3479616.7500000005</v>
      </c>
      <c r="D93" s="787">
        <f t="shared" si="55"/>
        <v>0.14000000000000001</v>
      </c>
      <c r="E93" s="787"/>
      <c r="F93" s="787"/>
      <c r="G93" s="787">
        <f t="shared" si="56"/>
        <v>1739808</v>
      </c>
      <c r="H93" s="787"/>
      <c r="I93" s="787">
        <f t="shared" si="57"/>
        <v>-547539.06500000006</v>
      </c>
      <c r="J93" s="787">
        <f t="shared" si="58"/>
        <v>481004.685</v>
      </c>
      <c r="K93" s="787">
        <f t="shared" si="59"/>
        <v>2116851.3450000002</v>
      </c>
      <c r="L93" s="787"/>
      <c r="M93" s="624">
        <v>-1095078.27</v>
      </c>
      <c r="N93" s="624">
        <v>-621017.04</v>
      </c>
      <c r="O93" s="624">
        <v>962009.37</v>
      </c>
      <c r="P93" s="624">
        <v>4233702.6900000004</v>
      </c>
      <c r="Q93" s="624"/>
      <c r="R93" s="787"/>
      <c r="S93" s="624">
        <v>0.14000000000000001</v>
      </c>
      <c r="T93" s="624"/>
      <c r="U93" s="624"/>
      <c r="V93" s="624"/>
      <c r="W93" s="624"/>
    </row>
    <row r="94" spans="1:23">
      <c r="A94" s="804">
        <f t="shared" si="60"/>
        <v>9.2199999999999953</v>
      </c>
      <c r="B94" s="624" t="s">
        <v>1300</v>
      </c>
      <c r="C94" s="787">
        <f t="shared" si="54"/>
        <v>190640.90000000002</v>
      </c>
      <c r="D94" s="787">
        <f t="shared" si="55"/>
        <v>0</v>
      </c>
      <c r="E94" s="787"/>
      <c r="F94" s="787"/>
      <c r="G94" s="787">
        <f t="shared" si="56"/>
        <v>95320</v>
      </c>
      <c r="H94" s="787"/>
      <c r="I94" s="787">
        <f t="shared" si="57"/>
        <v>-434.61500000000001</v>
      </c>
      <c r="J94" s="787">
        <f t="shared" si="58"/>
        <v>10418.205</v>
      </c>
      <c r="K94" s="787">
        <f t="shared" si="59"/>
        <v>36064.14</v>
      </c>
      <c r="L94" s="787"/>
      <c r="M94" s="624">
        <v>-869.23</v>
      </c>
      <c r="N94" s="624">
        <v>98545.44</v>
      </c>
      <c r="O94" s="624">
        <v>20836.41</v>
      </c>
      <c r="P94" s="624">
        <v>72128.28</v>
      </c>
      <c r="Q94" s="624"/>
      <c r="R94" s="787"/>
      <c r="S94" s="624"/>
      <c r="T94" s="624"/>
      <c r="U94" s="624"/>
      <c r="V94" s="624"/>
      <c r="W94" s="624"/>
    </row>
    <row r="95" spans="1:23">
      <c r="A95" s="804">
        <f t="shared" si="60"/>
        <v>9.2299999999999951</v>
      </c>
      <c r="B95" s="624" t="s">
        <v>1301</v>
      </c>
      <c r="C95" s="787">
        <f t="shared" si="54"/>
        <v>-607140.62999999989</v>
      </c>
      <c r="D95" s="787">
        <f t="shared" si="55"/>
        <v>0</v>
      </c>
      <c r="E95" s="787"/>
      <c r="F95" s="787"/>
      <c r="G95" s="787">
        <f t="shared" si="56"/>
        <v>-303570</v>
      </c>
      <c r="H95" s="787"/>
      <c r="I95" s="787">
        <f t="shared" si="57"/>
        <v>234393.93</v>
      </c>
      <c r="J95" s="787">
        <f t="shared" si="58"/>
        <v>-17499.3</v>
      </c>
      <c r="K95" s="787">
        <f t="shared" si="59"/>
        <v>65701.02</v>
      </c>
      <c r="L95" s="787"/>
      <c r="M95" s="624">
        <v>468787.86</v>
      </c>
      <c r="N95" s="624">
        <v>-1172331.93</v>
      </c>
      <c r="O95" s="624">
        <v>-34998.6</v>
      </c>
      <c r="P95" s="624">
        <v>131402.04</v>
      </c>
      <c r="Q95" s="624"/>
      <c r="R95" s="787"/>
      <c r="S95" s="624"/>
      <c r="T95" s="624"/>
      <c r="U95" s="624"/>
      <c r="V95" s="624"/>
      <c r="W95" s="624"/>
    </row>
    <row r="96" spans="1:23">
      <c r="A96" s="804">
        <f t="shared" si="60"/>
        <v>9.2399999999999949</v>
      </c>
      <c r="B96" s="624" t="s">
        <v>1302</v>
      </c>
      <c r="C96" s="787">
        <f t="shared" si="54"/>
        <v>147100.11000000002</v>
      </c>
      <c r="D96" s="787">
        <f t="shared" si="55"/>
        <v>0.01</v>
      </c>
      <c r="E96" s="787"/>
      <c r="F96" s="787"/>
      <c r="G96" s="787">
        <f t="shared" si="56"/>
        <v>73550</v>
      </c>
      <c r="H96" s="787"/>
      <c r="I96" s="787">
        <f t="shared" si="57"/>
        <v>0</v>
      </c>
      <c r="J96" s="787">
        <f t="shared" si="58"/>
        <v>0</v>
      </c>
      <c r="K96" s="787">
        <f t="shared" si="59"/>
        <v>73550.060000000012</v>
      </c>
      <c r="L96" s="787"/>
      <c r="M96" s="624"/>
      <c r="N96" s="624"/>
      <c r="O96" s="624"/>
      <c r="P96" s="624">
        <v>147100.11000000002</v>
      </c>
      <c r="Q96" s="624"/>
      <c r="R96" s="787"/>
      <c r="S96" s="624"/>
      <c r="T96" s="624"/>
      <c r="U96" s="624"/>
      <c r="V96" s="624">
        <v>0.01</v>
      </c>
      <c r="W96" s="624"/>
    </row>
    <row r="97" spans="1:23">
      <c r="A97" s="804">
        <f t="shared" si="60"/>
        <v>9.2499999999999947</v>
      </c>
      <c r="B97" s="624" t="s">
        <v>1303</v>
      </c>
      <c r="C97" s="787">
        <f t="shared" si="54"/>
        <v>829323.70000000007</v>
      </c>
      <c r="D97" s="787">
        <f t="shared" si="55"/>
        <v>766336.9</v>
      </c>
      <c r="E97" s="787"/>
      <c r="F97" s="787"/>
      <c r="G97" s="787">
        <f t="shared" si="56"/>
        <v>797830</v>
      </c>
      <c r="H97" s="787"/>
      <c r="I97" s="787">
        <f t="shared" si="57"/>
        <v>0</v>
      </c>
      <c r="J97" s="787">
        <f t="shared" si="58"/>
        <v>0</v>
      </c>
      <c r="K97" s="787">
        <f t="shared" si="59"/>
        <v>0</v>
      </c>
      <c r="L97" s="787"/>
      <c r="M97" s="624"/>
      <c r="N97" s="624">
        <v>829323.70000000007</v>
      </c>
      <c r="O97" s="624"/>
      <c r="P97" s="624"/>
      <c r="Q97" s="624"/>
      <c r="R97" s="787"/>
      <c r="S97" s="624"/>
      <c r="T97" s="624">
        <v>766336.9</v>
      </c>
      <c r="U97" s="624"/>
      <c r="V97" s="624"/>
      <c r="W97" s="624"/>
    </row>
    <row r="98" spans="1:23">
      <c r="A98" s="804">
        <f t="shared" si="60"/>
        <v>9.2599999999999945</v>
      </c>
      <c r="B98" s="624" t="s">
        <v>1304</v>
      </c>
      <c r="C98" s="787">
        <f t="shared" si="54"/>
        <v>329513.93</v>
      </c>
      <c r="D98" s="787">
        <f t="shared" si="55"/>
        <v>294433.64</v>
      </c>
      <c r="E98" s="787"/>
      <c r="F98" s="787"/>
      <c r="G98" s="787">
        <f t="shared" si="56"/>
        <v>311974</v>
      </c>
      <c r="H98" s="787"/>
      <c r="I98" s="787">
        <f t="shared" si="57"/>
        <v>0</v>
      </c>
      <c r="J98" s="787">
        <f t="shared" si="58"/>
        <v>0</v>
      </c>
      <c r="K98" s="787">
        <f t="shared" si="59"/>
        <v>0</v>
      </c>
      <c r="L98" s="787"/>
      <c r="M98" s="624"/>
      <c r="N98" s="624">
        <v>329513.93</v>
      </c>
      <c r="O98" s="624"/>
      <c r="P98" s="624"/>
      <c r="Q98" s="624"/>
      <c r="R98" s="787"/>
      <c r="S98" s="624"/>
      <c r="T98" s="624">
        <v>294433.64</v>
      </c>
      <c r="U98" s="624"/>
      <c r="V98" s="624"/>
      <c r="W98" s="624"/>
    </row>
    <row r="99" spans="1:23">
      <c r="A99" s="804">
        <f t="shared" si="60"/>
        <v>9.2699999999999942</v>
      </c>
      <c r="B99" s="624" t="s">
        <v>1305</v>
      </c>
      <c r="C99" s="787">
        <f t="shared" si="54"/>
        <v>2524150.54</v>
      </c>
      <c r="D99" s="787">
        <f t="shared" si="55"/>
        <v>2270062.7200000002</v>
      </c>
      <c r="E99" s="787"/>
      <c r="F99" s="787"/>
      <c r="G99" s="787">
        <f t="shared" si="56"/>
        <v>2397107</v>
      </c>
      <c r="H99" s="787"/>
      <c r="I99" s="787">
        <f t="shared" si="57"/>
        <v>0</v>
      </c>
      <c r="J99" s="787">
        <f t="shared" si="58"/>
        <v>0</v>
      </c>
      <c r="K99" s="787">
        <f t="shared" si="59"/>
        <v>0</v>
      </c>
      <c r="L99" s="787"/>
      <c r="M99" s="624"/>
      <c r="N99" s="624">
        <v>2524150.54</v>
      </c>
      <c r="O99" s="624"/>
      <c r="P99" s="624"/>
      <c r="Q99" s="624"/>
      <c r="R99" s="787"/>
      <c r="S99" s="624"/>
      <c r="T99" s="624">
        <v>2270062.7200000002</v>
      </c>
      <c r="U99" s="624"/>
      <c r="V99" s="624"/>
      <c r="W99" s="624"/>
    </row>
    <row r="100" spans="1:23">
      <c r="A100" s="804">
        <f t="shared" si="60"/>
        <v>9.279999999999994</v>
      </c>
      <c r="B100" s="624" t="s">
        <v>1306</v>
      </c>
      <c r="C100" s="787">
        <f t="shared" si="54"/>
        <v>-910503.92</v>
      </c>
      <c r="D100" s="787">
        <f t="shared" si="55"/>
        <v>-813971.54</v>
      </c>
      <c r="E100" s="787"/>
      <c r="F100" s="787"/>
      <c r="G100" s="787">
        <f t="shared" si="56"/>
        <v>-862238</v>
      </c>
      <c r="H100" s="787"/>
      <c r="I100" s="787">
        <f t="shared" si="57"/>
        <v>0</v>
      </c>
      <c r="J100" s="787">
        <f t="shared" si="58"/>
        <v>0</v>
      </c>
      <c r="K100" s="787">
        <f t="shared" si="59"/>
        <v>0</v>
      </c>
      <c r="L100" s="787"/>
      <c r="M100" s="624"/>
      <c r="N100" s="624">
        <v>-910503.92</v>
      </c>
      <c r="O100" s="624"/>
      <c r="P100" s="624"/>
      <c r="Q100" s="624"/>
      <c r="R100" s="787"/>
      <c r="S100" s="624"/>
      <c r="T100" s="624">
        <v>-813971.54</v>
      </c>
      <c r="U100" s="624"/>
      <c r="V100" s="624"/>
      <c r="W100" s="624"/>
    </row>
    <row r="101" spans="1:23">
      <c r="A101" s="804">
        <f t="shared" si="60"/>
        <v>9.2899999999999938</v>
      </c>
      <c r="B101" s="624" t="s">
        <v>1307</v>
      </c>
      <c r="C101" s="787">
        <f t="shared" si="54"/>
        <v>-861128.84</v>
      </c>
      <c r="D101" s="787">
        <f t="shared" si="55"/>
        <v>-795056.71</v>
      </c>
      <c r="E101" s="787"/>
      <c r="F101" s="787"/>
      <c r="G101" s="787">
        <f t="shared" si="56"/>
        <v>-828093</v>
      </c>
      <c r="H101" s="787"/>
      <c r="I101" s="787">
        <f t="shared" si="57"/>
        <v>0</v>
      </c>
      <c r="J101" s="787">
        <f t="shared" si="58"/>
        <v>0</v>
      </c>
      <c r="K101" s="787">
        <f t="shared" si="59"/>
        <v>0</v>
      </c>
      <c r="L101" s="787"/>
      <c r="M101" s="624"/>
      <c r="N101" s="624">
        <v>-861128.84</v>
      </c>
      <c r="O101" s="624"/>
      <c r="P101" s="624"/>
      <c r="Q101" s="624"/>
      <c r="R101" s="787"/>
      <c r="S101" s="624"/>
      <c r="T101" s="624">
        <v>-795056.71</v>
      </c>
      <c r="U101" s="624"/>
      <c r="V101" s="624"/>
      <c r="W101" s="624"/>
    </row>
    <row r="102" spans="1:23">
      <c r="A102" s="804">
        <f t="shared" si="60"/>
        <v>9.2999999999999936</v>
      </c>
      <c r="B102" s="624" t="s">
        <v>1308</v>
      </c>
      <c r="C102" s="787">
        <f t="shared" si="54"/>
        <v>2506837.69</v>
      </c>
      <c r="D102" s="787">
        <f t="shared" si="55"/>
        <v>2314494.73</v>
      </c>
      <c r="E102" s="787"/>
      <c r="F102" s="787"/>
      <c r="G102" s="787">
        <f t="shared" si="56"/>
        <v>2410666</v>
      </c>
      <c r="H102" s="787"/>
      <c r="I102" s="787">
        <f t="shared" si="57"/>
        <v>0</v>
      </c>
      <c r="J102" s="787">
        <f t="shared" si="58"/>
        <v>0</v>
      </c>
      <c r="K102" s="787">
        <f t="shared" si="59"/>
        <v>0</v>
      </c>
      <c r="L102" s="787"/>
      <c r="M102" s="624"/>
      <c r="N102" s="624">
        <v>2506837.69</v>
      </c>
      <c r="O102" s="624"/>
      <c r="P102" s="624"/>
      <c r="Q102" s="624"/>
      <c r="R102" s="787"/>
      <c r="S102" s="624"/>
      <c r="T102" s="624">
        <v>2314494.73</v>
      </c>
      <c r="U102" s="624"/>
      <c r="V102" s="624"/>
      <c r="W102" s="624"/>
    </row>
    <row r="103" spans="1:23">
      <c r="A103" s="804">
        <f t="shared" si="60"/>
        <v>9.3099999999999934</v>
      </c>
      <c r="B103" s="624" t="s">
        <v>1309</v>
      </c>
      <c r="C103" s="787">
        <f t="shared" si="54"/>
        <v>166669.37</v>
      </c>
      <c r="D103" s="787">
        <f t="shared" si="55"/>
        <v>146509.37</v>
      </c>
      <c r="E103" s="787"/>
      <c r="F103" s="787"/>
      <c r="G103" s="787">
        <f t="shared" si="56"/>
        <v>156589</v>
      </c>
      <c r="H103" s="787"/>
      <c r="I103" s="787">
        <f t="shared" si="57"/>
        <v>0</v>
      </c>
      <c r="J103" s="787">
        <f t="shared" si="58"/>
        <v>0</v>
      </c>
      <c r="K103" s="787">
        <f t="shared" si="59"/>
        <v>0</v>
      </c>
      <c r="L103" s="787"/>
      <c r="M103" s="624"/>
      <c r="N103" s="624">
        <v>166669.37</v>
      </c>
      <c r="O103" s="624"/>
      <c r="P103" s="624"/>
      <c r="Q103" s="624"/>
      <c r="R103" s="787"/>
      <c r="S103" s="624"/>
      <c r="T103" s="624">
        <v>146509.37</v>
      </c>
      <c r="U103" s="624"/>
      <c r="V103" s="624"/>
      <c r="W103" s="624"/>
    </row>
    <row r="104" spans="1:23">
      <c r="A104" s="804">
        <f t="shared" si="60"/>
        <v>9.3199999999999932</v>
      </c>
      <c r="B104" s="624" t="s">
        <v>1310</v>
      </c>
      <c r="C104" s="787">
        <f t="shared" si="54"/>
        <v>-0.21</v>
      </c>
      <c r="D104" s="787">
        <f t="shared" si="55"/>
        <v>-0.21</v>
      </c>
      <c r="E104" s="787"/>
      <c r="F104" s="787"/>
      <c r="G104" s="787">
        <f t="shared" si="56"/>
        <v>0</v>
      </c>
      <c r="H104" s="787"/>
      <c r="I104" s="787">
        <f t="shared" si="57"/>
        <v>0</v>
      </c>
      <c r="J104" s="787">
        <f t="shared" si="58"/>
        <v>0</v>
      </c>
      <c r="K104" s="787">
        <f t="shared" si="59"/>
        <v>0</v>
      </c>
      <c r="L104" s="787"/>
      <c r="M104" s="624"/>
      <c r="N104" s="624">
        <v>-0.21</v>
      </c>
      <c r="O104" s="624"/>
      <c r="P104" s="624"/>
      <c r="Q104" s="624"/>
      <c r="R104" s="787"/>
      <c r="S104" s="624"/>
      <c r="T104" s="624">
        <v>-0.21</v>
      </c>
      <c r="U104" s="624"/>
      <c r="V104" s="624"/>
      <c r="W104" s="624"/>
    </row>
    <row r="105" spans="1:23">
      <c r="A105" s="804">
        <f t="shared" si="60"/>
        <v>9.329999999999993</v>
      </c>
      <c r="B105" s="624" t="s">
        <v>1311</v>
      </c>
      <c r="C105" s="787">
        <f t="shared" si="54"/>
        <v>39948.54</v>
      </c>
      <c r="D105" s="787">
        <f t="shared" si="55"/>
        <v>58671.58</v>
      </c>
      <c r="E105" s="787"/>
      <c r="F105" s="787"/>
      <c r="G105" s="787">
        <f t="shared" si="56"/>
        <v>49310</v>
      </c>
      <c r="H105" s="787"/>
      <c r="I105" s="787">
        <f t="shared" si="57"/>
        <v>0</v>
      </c>
      <c r="J105" s="787">
        <f t="shared" si="58"/>
        <v>0</v>
      </c>
      <c r="K105" s="787">
        <f t="shared" si="59"/>
        <v>49310.06</v>
      </c>
      <c r="L105" s="787"/>
      <c r="M105" s="624"/>
      <c r="N105" s="624"/>
      <c r="O105" s="624"/>
      <c r="P105" s="624">
        <v>39948.54</v>
      </c>
      <c r="Q105" s="624"/>
      <c r="R105" s="787"/>
      <c r="S105" s="624"/>
      <c r="T105" s="624"/>
      <c r="U105" s="624"/>
      <c r="V105" s="624">
        <v>58671.58</v>
      </c>
      <c r="W105" s="624"/>
    </row>
    <row r="106" spans="1:23">
      <c r="A106" s="804">
        <f t="shared" si="60"/>
        <v>9.3399999999999928</v>
      </c>
      <c r="B106" s="624" t="s">
        <v>1312</v>
      </c>
      <c r="C106" s="787">
        <f t="shared" si="54"/>
        <v>-15477.61</v>
      </c>
      <c r="D106" s="787">
        <f t="shared" si="55"/>
        <v>-22508.3</v>
      </c>
      <c r="E106" s="787"/>
      <c r="F106" s="787"/>
      <c r="G106" s="787">
        <f t="shared" si="56"/>
        <v>-18993</v>
      </c>
      <c r="H106" s="787"/>
      <c r="I106" s="787">
        <f t="shared" si="57"/>
        <v>0</v>
      </c>
      <c r="J106" s="787">
        <f t="shared" si="58"/>
        <v>0</v>
      </c>
      <c r="K106" s="787">
        <f t="shared" si="59"/>
        <v>-18992.955000000002</v>
      </c>
      <c r="L106" s="787"/>
      <c r="M106" s="624"/>
      <c r="N106" s="624"/>
      <c r="O106" s="624"/>
      <c r="P106" s="624">
        <v>-15477.61</v>
      </c>
      <c r="Q106" s="624"/>
      <c r="R106" s="787"/>
      <c r="S106" s="624"/>
      <c r="T106" s="624"/>
      <c r="U106" s="624"/>
      <c r="V106" s="624">
        <v>-22508.3</v>
      </c>
      <c r="W106" s="624"/>
    </row>
    <row r="107" spans="1:23">
      <c r="A107" s="804">
        <f t="shared" si="60"/>
        <v>9.3499999999999925</v>
      </c>
      <c r="B107" s="624" t="s">
        <v>1313</v>
      </c>
      <c r="C107" s="787">
        <f t="shared" si="54"/>
        <v>20290.03</v>
      </c>
      <c r="D107" s="787">
        <f t="shared" si="55"/>
        <v>31656.780000000002</v>
      </c>
      <c r="E107" s="787"/>
      <c r="F107" s="787"/>
      <c r="G107" s="787">
        <f t="shared" si="56"/>
        <v>25973</v>
      </c>
      <c r="H107" s="787"/>
      <c r="I107" s="787">
        <f t="shared" si="57"/>
        <v>0</v>
      </c>
      <c r="J107" s="787">
        <f t="shared" si="58"/>
        <v>0</v>
      </c>
      <c r="K107" s="787">
        <f t="shared" si="59"/>
        <v>25973.404999999999</v>
      </c>
      <c r="L107" s="787"/>
      <c r="M107" s="624"/>
      <c r="N107" s="624"/>
      <c r="O107" s="624"/>
      <c r="P107" s="624">
        <v>20290.03</v>
      </c>
      <c r="Q107" s="624"/>
      <c r="R107" s="787"/>
      <c r="S107" s="624"/>
      <c r="T107" s="624"/>
      <c r="U107" s="624"/>
      <c r="V107" s="624">
        <v>31656.780000000002</v>
      </c>
      <c r="W107" s="624"/>
    </row>
    <row r="108" spans="1:23">
      <c r="A108" s="804">
        <f t="shared" si="60"/>
        <v>9.3599999999999923</v>
      </c>
      <c r="B108" s="624" t="s">
        <v>1314</v>
      </c>
      <c r="C108" s="787">
        <f t="shared" si="54"/>
        <v>337906.61</v>
      </c>
      <c r="D108" s="787">
        <f t="shared" si="55"/>
        <v>244894.24</v>
      </c>
      <c r="E108" s="787"/>
      <c r="F108" s="787"/>
      <c r="G108" s="787">
        <f t="shared" si="56"/>
        <v>291400</v>
      </c>
      <c r="H108" s="787"/>
      <c r="I108" s="787">
        <f t="shared" si="57"/>
        <v>291400.42499999999</v>
      </c>
      <c r="J108" s="787">
        <f t="shared" si="58"/>
        <v>0</v>
      </c>
      <c r="K108" s="787">
        <f t="shared" si="59"/>
        <v>0</v>
      </c>
      <c r="L108" s="787"/>
      <c r="M108" s="624">
        <v>337906.61</v>
      </c>
      <c r="N108" s="624"/>
      <c r="O108" s="624"/>
      <c r="P108" s="624"/>
      <c r="Q108" s="624"/>
      <c r="R108" s="787"/>
      <c r="S108" s="624">
        <v>244894.24</v>
      </c>
      <c r="T108" s="624"/>
      <c r="U108" s="624"/>
      <c r="V108" s="624"/>
      <c r="W108" s="624"/>
    </row>
    <row r="109" spans="1:23">
      <c r="A109" s="804">
        <f t="shared" si="60"/>
        <v>9.3699999999999921</v>
      </c>
      <c r="B109" s="624" t="s">
        <v>1315</v>
      </c>
      <c r="C109" s="787">
        <f t="shared" si="54"/>
        <v>261165.76</v>
      </c>
      <c r="D109" s="787">
        <f t="shared" si="55"/>
        <v>178270.36000000002</v>
      </c>
      <c r="E109" s="787"/>
      <c r="F109" s="787"/>
      <c r="G109" s="787">
        <f t="shared" si="56"/>
        <v>219718</v>
      </c>
      <c r="H109" s="787"/>
      <c r="I109" s="787">
        <f t="shared" si="57"/>
        <v>219718.06</v>
      </c>
      <c r="J109" s="787">
        <f t="shared" si="58"/>
        <v>0</v>
      </c>
      <c r="K109" s="787">
        <f t="shared" si="59"/>
        <v>0</v>
      </c>
      <c r="L109" s="787"/>
      <c r="M109" s="624">
        <v>261165.76</v>
      </c>
      <c r="N109" s="624"/>
      <c r="O109" s="624"/>
      <c r="P109" s="624"/>
      <c r="Q109" s="624"/>
      <c r="R109" s="787"/>
      <c r="S109" s="624">
        <v>178270.36000000002</v>
      </c>
      <c r="T109" s="624"/>
      <c r="U109" s="624"/>
      <c r="V109" s="624"/>
      <c r="W109" s="624"/>
    </row>
    <row r="110" spans="1:23">
      <c r="A110" s="804">
        <f t="shared" si="60"/>
        <v>9.3799999999999919</v>
      </c>
      <c r="B110" s="624" t="s">
        <v>1316</v>
      </c>
      <c r="C110" s="787">
        <f t="shared" si="54"/>
        <v>-94521.540000000008</v>
      </c>
      <c r="D110" s="787">
        <f t="shared" si="55"/>
        <v>-62474.700000000004</v>
      </c>
      <c r="E110" s="787"/>
      <c r="F110" s="787"/>
      <c r="G110" s="787">
        <f t="shared" si="56"/>
        <v>-78498</v>
      </c>
      <c r="H110" s="787"/>
      <c r="I110" s="787">
        <f t="shared" si="57"/>
        <v>-78498.12000000001</v>
      </c>
      <c r="J110" s="787">
        <f t="shared" si="58"/>
        <v>0</v>
      </c>
      <c r="K110" s="787">
        <f t="shared" si="59"/>
        <v>0</v>
      </c>
      <c r="L110" s="787"/>
      <c r="M110" s="624">
        <v>-94521.540000000008</v>
      </c>
      <c r="N110" s="624"/>
      <c r="O110" s="624"/>
      <c r="P110" s="624"/>
      <c r="Q110" s="624"/>
      <c r="R110" s="787"/>
      <c r="S110" s="624">
        <v>-62474.700000000004</v>
      </c>
      <c r="T110" s="624"/>
      <c r="U110" s="624"/>
      <c r="V110" s="624"/>
      <c r="W110" s="624"/>
    </row>
    <row r="111" spans="1:23">
      <c r="A111" s="804">
        <f t="shared" si="60"/>
        <v>9.3899999999999917</v>
      </c>
      <c r="B111" s="624" t="s">
        <v>1317</v>
      </c>
      <c r="C111" s="787">
        <f t="shared" si="54"/>
        <v>7609.06</v>
      </c>
      <c r="D111" s="787">
        <f t="shared" si="55"/>
        <v>0</v>
      </c>
      <c r="E111" s="787"/>
      <c r="F111" s="787"/>
      <c r="G111" s="787">
        <f t="shared" si="56"/>
        <v>3805</v>
      </c>
      <c r="H111" s="787"/>
      <c r="I111" s="787">
        <f t="shared" si="57"/>
        <v>3804.53</v>
      </c>
      <c r="J111" s="787">
        <f t="shared" si="58"/>
        <v>0</v>
      </c>
      <c r="K111" s="787">
        <f t="shared" si="59"/>
        <v>0</v>
      </c>
      <c r="L111" s="787"/>
      <c r="M111" s="624">
        <v>7609.06</v>
      </c>
      <c r="N111" s="624"/>
      <c r="O111" s="624"/>
      <c r="P111" s="624"/>
      <c r="Q111" s="624"/>
      <c r="R111" s="787"/>
      <c r="S111" s="624"/>
      <c r="T111" s="624"/>
      <c r="U111" s="624"/>
      <c r="V111" s="624"/>
      <c r="W111" s="624"/>
    </row>
    <row r="112" spans="1:23">
      <c r="A112" s="804">
        <f t="shared" si="60"/>
        <v>9.3999999999999915</v>
      </c>
      <c r="B112" s="624" t="s">
        <v>1318</v>
      </c>
      <c r="C112" s="787">
        <f t="shared" si="54"/>
        <v>281135.96000000002</v>
      </c>
      <c r="D112" s="787">
        <f t="shared" si="55"/>
        <v>162934.01999999999</v>
      </c>
      <c r="E112" s="787"/>
      <c r="F112" s="787"/>
      <c r="G112" s="787">
        <f t="shared" si="56"/>
        <v>222035</v>
      </c>
      <c r="H112" s="787"/>
      <c r="I112" s="787">
        <f t="shared" si="57"/>
        <v>222034.99</v>
      </c>
      <c r="J112" s="787">
        <f t="shared" si="58"/>
        <v>0</v>
      </c>
      <c r="K112" s="787">
        <f t="shared" si="59"/>
        <v>0</v>
      </c>
      <c r="L112" s="787"/>
      <c r="M112" s="624">
        <v>281135.96000000002</v>
      </c>
      <c r="N112" s="624"/>
      <c r="O112" s="624"/>
      <c r="P112" s="624"/>
      <c r="Q112" s="624"/>
      <c r="R112" s="787"/>
      <c r="S112" s="624">
        <v>162934.01999999999</v>
      </c>
      <c r="T112" s="624"/>
      <c r="U112" s="624"/>
      <c r="V112" s="624"/>
      <c r="W112" s="624"/>
    </row>
    <row r="113" spans="1:23">
      <c r="A113" s="804">
        <f t="shared" si="60"/>
        <v>9.4099999999999913</v>
      </c>
      <c r="B113" s="624" t="s">
        <v>1319</v>
      </c>
      <c r="C113" s="787">
        <f t="shared" si="54"/>
        <v>40514.200000000004</v>
      </c>
      <c r="D113" s="787">
        <f t="shared" si="55"/>
        <v>60418.57</v>
      </c>
      <c r="E113" s="787"/>
      <c r="F113" s="787"/>
      <c r="G113" s="787">
        <f t="shared" si="56"/>
        <v>50466</v>
      </c>
      <c r="H113" s="787"/>
      <c r="I113" s="787">
        <f t="shared" si="57"/>
        <v>0</v>
      </c>
      <c r="J113" s="787">
        <f t="shared" si="58"/>
        <v>0</v>
      </c>
      <c r="K113" s="787">
        <f t="shared" si="59"/>
        <v>50466.385000000002</v>
      </c>
      <c r="L113" s="787"/>
      <c r="M113" s="624"/>
      <c r="N113" s="624"/>
      <c r="O113" s="624"/>
      <c r="P113" s="624">
        <v>40514.200000000004</v>
      </c>
      <c r="Q113" s="624"/>
      <c r="R113" s="787"/>
      <c r="S113" s="624"/>
      <c r="T113" s="624"/>
      <c r="U113" s="624"/>
      <c r="V113" s="624">
        <v>60418.57</v>
      </c>
      <c r="W113" s="624"/>
    </row>
    <row r="114" spans="1:23">
      <c r="A114" s="804">
        <f t="shared" si="60"/>
        <v>9.419999999999991</v>
      </c>
      <c r="B114" s="624" t="s">
        <v>1320</v>
      </c>
      <c r="C114" s="787">
        <f t="shared" si="54"/>
        <v>4302083.16</v>
      </c>
      <c r="D114" s="787">
        <f t="shared" si="55"/>
        <v>3794400.58</v>
      </c>
      <c r="E114" s="787"/>
      <c r="F114" s="787"/>
      <c r="G114" s="787">
        <f t="shared" si="56"/>
        <v>4048242</v>
      </c>
      <c r="H114" s="787"/>
      <c r="I114" s="787">
        <f t="shared" si="57"/>
        <v>0</v>
      </c>
      <c r="J114" s="787">
        <f t="shared" si="58"/>
        <v>0</v>
      </c>
      <c r="K114" s="787">
        <f t="shared" si="59"/>
        <v>0</v>
      </c>
      <c r="L114" s="787"/>
      <c r="M114" s="624"/>
      <c r="N114" s="624">
        <v>4302083.16</v>
      </c>
      <c r="O114" s="624"/>
      <c r="P114" s="624"/>
      <c r="Q114" s="624"/>
      <c r="R114" s="787"/>
      <c r="S114" s="624"/>
      <c r="T114" s="624">
        <v>3794400.58</v>
      </c>
      <c r="U114" s="624"/>
      <c r="V114" s="624"/>
      <c r="W114" s="624"/>
    </row>
    <row r="115" spans="1:23">
      <c r="A115" s="804">
        <f t="shared" si="60"/>
        <v>9.4299999999999908</v>
      </c>
      <c r="B115" s="624" t="s">
        <v>1321</v>
      </c>
      <c r="C115" s="787">
        <f t="shared" si="54"/>
        <v>2694211.48</v>
      </c>
      <c r="D115" s="787">
        <f t="shared" si="55"/>
        <v>2020658.6</v>
      </c>
      <c r="E115" s="787"/>
      <c r="F115" s="787"/>
      <c r="G115" s="787">
        <f t="shared" si="56"/>
        <v>2357435</v>
      </c>
      <c r="H115" s="787"/>
      <c r="I115" s="787">
        <f t="shared" si="57"/>
        <v>2357435.04</v>
      </c>
      <c r="J115" s="787">
        <f t="shared" si="58"/>
        <v>0</v>
      </c>
      <c r="K115" s="787">
        <f t="shared" si="59"/>
        <v>0</v>
      </c>
      <c r="L115" s="787"/>
      <c r="M115" s="624">
        <v>2694211.48</v>
      </c>
      <c r="N115" s="624"/>
      <c r="O115" s="624"/>
      <c r="P115" s="624"/>
      <c r="Q115" s="624"/>
      <c r="R115" s="787"/>
      <c r="S115" s="624">
        <v>2020658.6</v>
      </c>
      <c r="T115" s="624"/>
      <c r="U115" s="624"/>
      <c r="V115" s="624"/>
      <c r="W115" s="624"/>
    </row>
    <row r="116" spans="1:23">
      <c r="A116" s="804">
        <f t="shared" si="60"/>
        <v>9.4399999999999906</v>
      </c>
      <c r="B116" s="624" t="s">
        <v>1322</v>
      </c>
      <c r="C116" s="787">
        <f t="shared" si="54"/>
        <v>531042.1</v>
      </c>
      <c r="D116" s="787">
        <f t="shared" si="55"/>
        <v>0</v>
      </c>
      <c r="E116" s="787"/>
      <c r="F116" s="787"/>
      <c r="G116" s="787">
        <f t="shared" si="56"/>
        <v>265521</v>
      </c>
      <c r="H116" s="787"/>
      <c r="I116" s="787">
        <f t="shared" si="57"/>
        <v>265521.05</v>
      </c>
      <c r="J116" s="787">
        <f t="shared" si="58"/>
        <v>0</v>
      </c>
      <c r="K116" s="787">
        <f t="shared" si="59"/>
        <v>0</v>
      </c>
      <c r="L116" s="787"/>
      <c r="M116" s="624">
        <v>531042.1</v>
      </c>
      <c r="N116" s="624"/>
      <c r="O116" s="624"/>
      <c r="P116" s="624"/>
      <c r="Q116" s="624"/>
      <c r="R116" s="787"/>
      <c r="S116" s="624"/>
      <c r="T116" s="624"/>
      <c r="U116" s="624"/>
      <c r="V116" s="624"/>
      <c r="W116" s="624"/>
    </row>
    <row r="117" spans="1:23">
      <c r="A117" s="804">
        <f t="shared" si="60"/>
        <v>9.4499999999999904</v>
      </c>
      <c r="B117" s="624" t="s">
        <v>1323</v>
      </c>
      <c r="C117" s="787">
        <f t="shared" si="54"/>
        <v>252307.94</v>
      </c>
      <c r="D117" s="787">
        <f t="shared" si="55"/>
        <v>243231.05000000002</v>
      </c>
      <c r="E117" s="787"/>
      <c r="F117" s="787"/>
      <c r="G117" s="787">
        <f t="shared" si="56"/>
        <v>247769</v>
      </c>
      <c r="H117" s="787"/>
      <c r="I117" s="787">
        <f t="shared" si="57"/>
        <v>0</v>
      </c>
      <c r="J117" s="787">
        <f t="shared" si="58"/>
        <v>0</v>
      </c>
      <c r="K117" s="787">
        <f t="shared" si="59"/>
        <v>247769.495</v>
      </c>
      <c r="L117" s="787"/>
      <c r="M117" s="624"/>
      <c r="N117" s="624"/>
      <c r="O117" s="624"/>
      <c r="P117" s="624">
        <v>252307.94</v>
      </c>
      <c r="Q117" s="624"/>
      <c r="R117" s="787"/>
      <c r="S117" s="624"/>
      <c r="T117" s="624"/>
      <c r="U117" s="624"/>
      <c r="V117" s="624">
        <v>243231.05000000002</v>
      </c>
      <c r="W117" s="624"/>
    </row>
    <row r="118" spans="1:23">
      <c r="A118" s="804">
        <f t="shared" si="60"/>
        <v>9.4599999999999902</v>
      </c>
      <c r="B118" s="624" t="s">
        <v>1324</v>
      </c>
      <c r="C118" s="787">
        <f t="shared" si="54"/>
        <v>-138106.83000000002</v>
      </c>
      <c r="D118" s="787">
        <f t="shared" si="55"/>
        <v>-203300.64</v>
      </c>
      <c r="E118" s="787"/>
      <c r="F118" s="787"/>
      <c r="G118" s="787">
        <f t="shared" si="56"/>
        <v>-170704</v>
      </c>
      <c r="H118" s="787"/>
      <c r="I118" s="787">
        <f t="shared" si="57"/>
        <v>0</v>
      </c>
      <c r="J118" s="787">
        <f t="shared" si="58"/>
        <v>0</v>
      </c>
      <c r="K118" s="787">
        <f t="shared" si="59"/>
        <v>-170703.73500000002</v>
      </c>
      <c r="L118" s="787"/>
      <c r="M118" s="624"/>
      <c r="N118" s="624"/>
      <c r="O118" s="624"/>
      <c r="P118" s="624">
        <v>-138106.83000000002</v>
      </c>
      <c r="Q118" s="624"/>
      <c r="R118" s="787"/>
      <c r="S118" s="624"/>
      <c r="T118" s="624"/>
      <c r="U118" s="624"/>
      <c r="V118" s="624">
        <v>-203300.64</v>
      </c>
      <c r="W118" s="624"/>
    </row>
    <row r="119" spans="1:23">
      <c r="A119" s="804">
        <f t="shared" si="60"/>
        <v>9.46999999999999</v>
      </c>
      <c r="B119" s="624" t="s">
        <v>1325</v>
      </c>
      <c r="C119" s="787">
        <f t="shared" si="54"/>
        <v>971231.73</v>
      </c>
      <c r="D119" s="787">
        <f t="shared" si="55"/>
        <v>0</v>
      </c>
      <c r="E119" s="787"/>
      <c r="F119" s="787"/>
      <c r="G119" s="787">
        <f t="shared" si="56"/>
        <v>485616</v>
      </c>
      <c r="H119" s="787"/>
      <c r="I119" s="787">
        <f t="shared" si="57"/>
        <v>485615.86499999999</v>
      </c>
      <c r="J119" s="787">
        <f t="shared" si="58"/>
        <v>0</v>
      </c>
      <c r="K119" s="787">
        <f t="shared" si="59"/>
        <v>0</v>
      </c>
      <c r="L119" s="787"/>
      <c r="M119" s="624">
        <v>971231.73</v>
      </c>
      <c r="N119" s="624"/>
      <c r="O119" s="624"/>
      <c r="P119" s="624"/>
      <c r="Q119" s="624"/>
      <c r="R119" s="787"/>
      <c r="S119" s="624"/>
      <c r="T119" s="624"/>
      <c r="U119" s="624"/>
      <c r="V119" s="624"/>
      <c r="W119" s="624"/>
    </row>
    <row r="120" spans="1:23">
      <c r="A120" s="804">
        <f t="shared" si="60"/>
        <v>9.4799999999999898</v>
      </c>
      <c r="B120" s="624" t="s">
        <v>1326</v>
      </c>
      <c r="C120" s="787">
        <f t="shared" si="54"/>
        <v>288844.47000000003</v>
      </c>
      <c r="D120" s="787">
        <f t="shared" si="55"/>
        <v>674689.05</v>
      </c>
      <c r="E120" s="787"/>
      <c r="F120" s="787"/>
      <c r="G120" s="787">
        <f t="shared" si="56"/>
        <v>481767</v>
      </c>
      <c r="H120" s="787"/>
      <c r="I120" s="787">
        <f t="shared" si="57"/>
        <v>481766.76</v>
      </c>
      <c r="J120" s="787">
        <f t="shared" si="58"/>
        <v>0</v>
      </c>
      <c r="K120" s="787">
        <f t="shared" si="59"/>
        <v>0</v>
      </c>
      <c r="L120" s="787"/>
      <c r="M120" s="624">
        <v>288844.47000000003</v>
      </c>
      <c r="N120" s="624"/>
      <c r="O120" s="624"/>
      <c r="P120" s="624"/>
      <c r="Q120" s="624"/>
      <c r="R120" s="787"/>
      <c r="S120" s="624">
        <v>674689.05</v>
      </c>
      <c r="T120" s="624"/>
      <c r="U120" s="624"/>
      <c r="V120" s="624"/>
      <c r="W120" s="624"/>
    </row>
    <row r="121" spans="1:23">
      <c r="A121" s="804">
        <f t="shared" si="60"/>
        <v>9.4899999999999896</v>
      </c>
      <c r="B121" s="624" t="s">
        <v>1327</v>
      </c>
      <c r="C121" s="787">
        <f t="shared" si="54"/>
        <v>1332623.25</v>
      </c>
      <c r="D121" s="787">
        <f t="shared" si="55"/>
        <v>542326.05000000005</v>
      </c>
      <c r="E121" s="787"/>
      <c r="F121" s="787"/>
      <c r="G121" s="787">
        <f t="shared" si="56"/>
        <v>937475</v>
      </c>
      <c r="H121" s="787"/>
      <c r="I121" s="787">
        <f t="shared" si="57"/>
        <v>845227.005</v>
      </c>
      <c r="J121" s="787">
        <f t="shared" si="58"/>
        <v>92247.645000000004</v>
      </c>
      <c r="K121" s="787">
        <f t="shared" si="59"/>
        <v>0</v>
      </c>
      <c r="L121" s="787"/>
      <c r="M121" s="624">
        <v>1332623.25</v>
      </c>
      <c r="N121" s="624"/>
      <c r="O121" s="624">
        <v>0</v>
      </c>
      <c r="P121" s="624"/>
      <c r="Q121" s="624"/>
      <c r="R121" s="787"/>
      <c r="S121" s="624">
        <v>357830.76</v>
      </c>
      <c r="T121" s="624"/>
      <c r="U121" s="624">
        <v>184495.29</v>
      </c>
      <c r="V121" s="624"/>
      <c r="W121" s="624"/>
    </row>
    <row r="122" spans="1:23">
      <c r="A122" s="804">
        <f t="shared" si="60"/>
        <v>9.4999999999999893</v>
      </c>
      <c r="B122" s="624" t="s">
        <v>1328</v>
      </c>
      <c r="C122" s="787">
        <f t="shared" si="54"/>
        <v>-0.21</v>
      </c>
      <c r="D122" s="787">
        <f t="shared" si="55"/>
        <v>-0.21</v>
      </c>
      <c r="E122" s="787"/>
      <c r="F122" s="787"/>
      <c r="G122" s="787">
        <f t="shared" si="56"/>
        <v>0</v>
      </c>
      <c r="H122" s="787"/>
      <c r="I122" s="787">
        <f t="shared" si="57"/>
        <v>0</v>
      </c>
      <c r="J122" s="787">
        <f t="shared" si="58"/>
        <v>0</v>
      </c>
      <c r="K122" s="787">
        <f t="shared" si="59"/>
        <v>0</v>
      </c>
      <c r="L122" s="787"/>
      <c r="M122" s="624"/>
      <c r="N122" s="624">
        <v>-0.21</v>
      </c>
      <c r="O122" s="624"/>
      <c r="P122" s="624"/>
      <c r="Q122" s="624"/>
      <c r="R122" s="787"/>
      <c r="S122" s="624"/>
      <c r="T122" s="624">
        <v>-0.21</v>
      </c>
      <c r="U122" s="624"/>
      <c r="V122" s="624"/>
      <c r="W122" s="624"/>
    </row>
    <row r="123" spans="1:23">
      <c r="A123" s="804">
        <f t="shared" si="60"/>
        <v>9.5099999999999891</v>
      </c>
      <c r="B123" s="624" t="s">
        <v>1329</v>
      </c>
      <c r="C123" s="787">
        <f t="shared" si="54"/>
        <v>1522397.76</v>
      </c>
      <c r="D123" s="787">
        <f t="shared" si="55"/>
        <v>1372501.31</v>
      </c>
      <c r="E123" s="787"/>
      <c r="F123" s="787"/>
      <c r="G123" s="787">
        <f t="shared" si="56"/>
        <v>1447450</v>
      </c>
      <c r="H123" s="787"/>
      <c r="I123" s="787">
        <f t="shared" si="57"/>
        <v>0</v>
      </c>
      <c r="J123" s="787">
        <f t="shared" si="58"/>
        <v>0</v>
      </c>
      <c r="K123" s="787">
        <f t="shared" si="59"/>
        <v>0</v>
      </c>
      <c r="L123" s="787"/>
      <c r="M123" s="624"/>
      <c r="N123" s="624">
        <v>1522397.76</v>
      </c>
      <c r="O123" s="624"/>
      <c r="P123" s="624"/>
      <c r="Q123" s="624"/>
      <c r="R123" s="787"/>
      <c r="S123" s="624"/>
      <c r="T123" s="624">
        <v>1372501.31</v>
      </c>
      <c r="U123" s="624"/>
      <c r="V123" s="624"/>
      <c r="W123" s="624"/>
    </row>
    <row r="124" spans="1:23">
      <c r="A124" s="804">
        <f t="shared" si="60"/>
        <v>9.5199999999999889</v>
      </c>
      <c r="B124" s="624" t="s">
        <v>1330</v>
      </c>
      <c r="C124" s="787">
        <f t="shared" si="54"/>
        <v>28553.06</v>
      </c>
      <c r="D124" s="787">
        <f t="shared" si="55"/>
        <v>36696.950000000004</v>
      </c>
      <c r="E124" s="787"/>
      <c r="F124" s="787"/>
      <c r="G124" s="787">
        <f t="shared" si="56"/>
        <v>32625</v>
      </c>
      <c r="H124" s="787"/>
      <c r="I124" s="787">
        <f t="shared" si="57"/>
        <v>0</v>
      </c>
      <c r="J124" s="787">
        <f t="shared" si="58"/>
        <v>0</v>
      </c>
      <c r="K124" s="787">
        <f t="shared" si="59"/>
        <v>32625.005000000005</v>
      </c>
      <c r="L124" s="787"/>
      <c r="M124" s="624"/>
      <c r="N124" s="624"/>
      <c r="O124" s="624"/>
      <c r="P124" s="624">
        <v>28553.06</v>
      </c>
      <c r="Q124" s="624"/>
      <c r="R124" s="787"/>
      <c r="S124" s="624"/>
      <c r="T124" s="624"/>
      <c r="U124" s="624"/>
      <c r="V124" s="624">
        <v>36696.950000000004</v>
      </c>
      <c r="W124" s="624"/>
    </row>
    <row r="125" spans="1:23">
      <c r="A125" s="804">
        <f t="shared" si="60"/>
        <v>9.5299999999999887</v>
      </c>
      <c r="B125" s="624" t="s">
        <v>1331</v>
      </c>
      <c r="C125" s="787">
        <f t="shared" si="54"/>
        <v>1119.3900000000001</v>
      </c>
      <c r="D125" s="787">
        <f t="shared" si="55"/>
        <v>2026.05</v>
      </c>
      <c r="E125" s="787"/>
      <c r="F125" s="787"/>
      <c r="G125" s="787">
        <f t="shared" si="56"/>
        <v>1573</v>
      </c>
      <c r="H125" s="787"/>
      <c r="I125" s="787">
        <f t="shared" si="57"/>
        <v>0</v>
      </c>
      <c r="J125" s="787">
        <f t="shared" si="58"/>
        <v>0</v>
      </c>
      <c r="K125" s="787">
        <f t="shared" si="59"/>
        <v>1572.72</v>
      </c>
      <c r="L125" s="787"/>
      <c r="M125" s="624"/>
      <c r="N125" s="624"/>
      <c r="O125" s="624"/>
      <c r="P125" s="624">
        <v>1119.3900000000001</v>
      </c>
      <c r="Q125" s="624"/>
      <c r="R125" s="787"/>
      <c r="S125" s="624"/>
      <c r="T125" s="624"/>
      <c r="U125" s="624"/>
      <c r="V125" s="624">
        <v>2026.05</v>
      </c>
      <c r="W125" s="624"/>
    </row>
    <row r="126" spans="1:23">
      <c r="A126" s="804">
        <f t="shared" si="60"/>
        <v>9.5399999999999885</v>
      </c>
      <c r="B126" s="624" t="s">
        <v>1332</v>
      </c>
      <c r="C126" s="787">
        <f t="shared" si="54"/>
        <v>238869.99</v>
      </c>
      <c r="D126" s="787">
        <f t="shared" si="55"/>
        <v>258634.11000000002</v>
      </c>
      <c r="E126" s="787"/>
      <c r="F126" s="787"/>
      <c r="G126" s="787">
        <f t="shared" si="56"/>
        <v>248752</v>
      </c>
      <c r="H126" s="787"/>
      <c r="I126" s="787">
        <f t="shared" si="57"/>
        <v>0</v>
      </c>
      <c r="J126" s="787">
        <f t="shared" si="58"/>
        <v>0</v>
      </c>
      <c r="K126" s="787">
        <f t="shared" si="59"/>
        <v>248752.05</v>
      </c>
      <c r="L126" s="787"/>
      <c r="M126" s="624"/>
      <c r="N126" s="624"/>
      <c r="O126" s="624"/>
      <c r="P126" s="624">
        <v>238869.99</v>
      </c>
      <c r="Q126" s="624"/>
      <c r="R126" s="787"/>
      <c r="S126" s="624"/>
      <c r="T126" s="624"/>
      <c r="U126" s="624"/>
      <c r="V126" s="624">
        <v>258634.11000000002</v>
      </c>
      <c r="W126" s="624"/>
    </row>
    <row r="127" spans="1:23">
      <c r="A127" s="804">
        <f t="shared" si="60"/>
        <v>9.5499999999999883</v>
      </c>
      <c r="B127" s="624" t="s">
        <v>1333</v>
      </c>
      <c r="C127" s="787">
        <f t="shared" si="54"/>
        <v>243663.72</v>
      </c>
      <c r="D127" s="787">
        <f t="shared" si="55"/>
        <v>255225.78</v>
      </c>
      <c r="E127" s="787"/>
      <c r="F127" s="787"/>
      <c r="G127" s="787">
        <f t="shared" si="56"/>
        <v>249445</v>
      </c>
      <c r="H127" s="787"/>
      <c r="I127" s="787">
        <f t="shared" si="57"/>
        <v>0</v>
      </c>
      <c r="J127" s="787">
        <f t="shared" si="58"/>
        <v>0</v>
      </c>
      <c r="K127" s="787">
        <f t="shared" si="59"/>
        <v>249444.75</v>
      </c>
      <c r="L127" s="787"/>
      <c r="M127" s="624"/>
      <c r="N127" s="624"/>
      <c r="O127" s="624"/>
      <c r="P127" s="624">
        <v>243663.72</v>
      </c>
      <c r="Q127" s="624"/>
      <c r="R127" s="787"/>
      <c r="S127" s="624"/>
      <c r="T127" s="624"/>
      <c r="U127" s="624"/>
      <c r="V127" s="624">
        <v>255225.78</v>
      </c>
      <c r="W127" s="624"/>
    </row>
    <row r="128" spans="1:23">
      <c r="A128" s="804">
        <f t="shared" si="60"/>
        <v>9.5599999999999881</v>
      </c>
      <c r="B128" s="624" t="s">
        <v>1334</v>
      </c>
      <c r="C128" s="787">
        <f t="shared" si="54"/>
        <v>36138.22</v>
      </c>
      <c r="D128" s="787">
        <f t="shared" si="55"/>
        <v>36138.22</v>
      </c>
      <c r="E128" s="787"/>
      <c r="F128" s="787"/>
      <c r="G128" s="787">
        <f t="shared" si="56"/>
        <v>36138</v>
      </c>
      <c r="H128" s="787"/>
      <c r="I128" s="787">
        <f t="shared" si="57"/>
        <v>0</v>
      </c>
      <c r="J128" s="787">
        <f t="shared" si="58"/>
        <v>0</v>
      </c>
      <c r="K128" s="787">
        <f t="shared" si="59"/>
        <v>0</v>
      </c>
      <c r="L128" s="787"/>
      <c r="M128" s="624"/>
      <c r="N128" s="624">
        <v>36138.22</v>
      </c>
      <c r="O128" s="624"/>
      <c r="P128" s="624"/>
      <c r="Q128" s="624"/>
      <c r="R128" s="787"/>
      <c r="S128" s="624"/>
      <c r="T128" s="624">
        <v>36138.22</v>
      </c>
      <c r="U128" s="624"/>
      <c r="V128" s="624"/>
      <c r="W128" s="624"/>
    </row>
    <row r="129" spans="1:23">
      <c r="A129" s="804">
        <f t="shared" si="60"/>
        <v>9.5699999999999878</v>
      </c>
      <c r="B129" s="624" t="s">
        <v>1335</v>
      </c>
      <c r="C129" s="787">
        <f t="shared" si="54"/>
        <v>7457032.3799999999</v>
      </c>
      <c r="D129" s="787">
        <f t="shared" si="55"/>
        <v>5277236.6399999997</v>
      </c>
      <c r="E129" s="787"/>
      <c r="F129" s="787"/>
      <c r="G129" s="787">
        <f t="shared" si="56"/>
        <v>6367135</v>
      </c>
      <c r="H129" s="787"/>
      <c r="I129" s="787">
        <f t="shared" si="57"/>
        <v>0</v>
      </c>
      <c r="J129" s="787">
        <f t="shared" si="58"/>
        <v>0</v>
      </c>
      <c r="K129" s="787">
        <f t="shared" si="59"/>
        <v>6367134.5099999998</v>
      </c>
      <c r="L129" s="787"/>
      <c r="M129" s="624"/>
      <c r="N129" s="624"/>
      <c r="O129" s="624"/>
      <c r="P129" s="624">
        <v>7457032.3799999999</v>
      </c>
      <c r="Q129" s="624"/>
      <c r="R129" s="787"/>
      <c r="S129" s="624"/>
      <c r="T129" s="624"/>
      <c r="U129" s="624"/>
      <c r="V129" s="624">
        <v>5277236.6399999997</v>
      </c>
      <c r="W129" s="624"/>
    </row>
    <row r="130" spans="1:23">
      <c r="A130" s="804">
        <f t="shared" si="60"/>
        <v>9.5799999999999876</v>
      </c>
      <c r="B130" s="624" t="s">
        <v>1336</v>
      </c>
      <c r="C130" s="787">
        <f t="shared" si="54"/>
        <v>-1843617.9300000002</v>
      </c>
      <c r="D130" s="787">
        <f t="shared" si="55"/>
        <v>-1278436.8400000001</v>
      </c>
      <c r="E130" s="787"/>
      <c r="F130" s="787"/>
      <c r="G130" s="787">
        <f t="shared" si="56"/>
        <v>-1561027</v>
      </c>
      <c r="H130" s="787"/>
      <c r="I130" s="787">
        <f t="shared" si="57"/>
        <v>0</v>
      </c>
      <c r="J130" s="787">
        <f t="shared" si="58"/>
        <v>0</v>
      </c>
      <c r="K130" s="787">
        <f t="shared" si="59"/>
        <v>-1561027.3850000002</v>
      </c>
      <c r="L130" s="787"/>
      <c r="M130" s="624"/>
      <c r="N130" s="624"/>
      <c r="O130" s="624"/>
      <c r="P130" s="624">
        <v>-1843617.9300000002</v>
      </c>
      <c r="Q130" s="624"/>
      <c r="R130" s="787"/>
      <c r="S130" s="624"/>
      <c r="T130" s="624"/>
      <c r="U130" s="624"/>
      <c r="V130" s="624">
        <v>-1278436.8400000001</v>
      </c>
      <c r="W130" s="624"/>
    </row>
    <row r="131" spans="1:23">
      <c r="A131" s="804">
        <f t="shared" si="60"/>
        <v>9.5899999999999874</v>
      </c>
      <c r="B131" s="624" t="s">
        <v>1337</v>
      </c>
      <c r="C131" s="787">
        <f t="shared" si="54"/>
        <v>164713.29</v>
      </c>
      <c r="D131" s="787">
        <f t="shared" si="55"/>
        <v>0</v>
      </c>
      <c r="E131" s="787"/>
      <c r="F131" s="787"/>
      <c r="G131" s="787">
        <f t="shared" si="56"/>
        <v>82357</v>
      </c>
      <c r="H131" s="787"/>
      <c r="I131" s="787">
        <f t="shared" si="57"/>
        <v>0</v>
      </c>
      <c r="J131" s="787">
        <f t="shared" si="58"/>
        <v>0</v>
      </c>
      <c r="K131" s="787">
        <f t="shared" si="59"/>
        <v>82356.645000000004</v>
      </c>
      <c r="L131" s="787"/>
      <c r="M131" s="624"/>
      <c r="N131" s="624"/>
      <c r="O131" s="624"/>
      <c r="P131" s="624">
        <v>164713.29</v>
      </c>
      <c r="Q131" s="624"/>
      <c r="R131" s="787"/>
      <c r="S131" s="624"/>
      <c r="T131" s="624"/>
      <c r="U131" s="624"/>
      <c r="V131" s="624"/>
      <c r="W131" s="624"/>
    </row>
    <row r="132" spans="1:23">
      <c r="A132" s="804">
        <f t="shared" si="60"/>
        <v>9.5999999999999872</v>
      </c>
      <c r="B132" s="624" t="s">
        <v>1338</v>
      </c>
      <c r="C132" s="787">
        <f t="shared" si="54"/>
        <v>186375</v>
      </c>
      <c r="D132" s="787">
        <f t="shared" si="55"/>
        <v>186375</v>
      </c>
      <c r="E132" s="787"/>
      <c r="F132" s="787"/>
      <c r="G132" s="787">
        <f t="shared" si="56"/>
        <v>186375</v>
      </c>
      <c r="H132" s="787"/>
      <c r="I132" s="787">
        <f t="shared" si="57"/>
        <v>186375</v>
      </c>
      <c r="J132" s="787">
        <f t="shared" si="58"/>
        <v>0</v>
      </c>
      <c r="K132" s="787">
        <f t="shared" si="59"/>
        <v>0</v>
      </c>
      <c r="L132" s="787"/>
      <c r="M132" s="624">
        <v>186375</v>
      </c>
      <c r="N132" s="624"/>
      <c r="O132" s="624"/>
      <c r="P132" s="624"/>
      <c r="Q132" s="624"/>
      <c r="R132" s="787"/>
      <c r="S132" s="624">
        <v>186375</v>
      </c>
      <c r="T132" s="624"/>
      <c r="U132" s="624"/>
      <c r="V132" s="624"/>
      <c r="W132" s="624"/>
    </row>
    <row r="133" spans="1:23">
      <c r="A133" s="804">
        <f t="shared" si="60"/>
        <v>9.609999999999987</v>
      </c>
      <c r="B133" s="624" t="s">
        <v>1339</v>
      </c>
      <c r="C133" s="787">
        <f t="shared" si="54"/>
        <v>883218.64</v>
      </c>
      <c r="D133" s="787">
        <f t="shared" si="55"/>
        <v>827442.56</v>
      </c>
      <c r="E133" s="787"/>
      <c r="F133" s="787"/>
      <c r="G133" s="787">
        <f t="shared" si="56"/>
        <v>855331</v>
      </c>
      <c r="H133" s="787"/>
      <c r="I133" s="787">
        <f t="shared" si="57"/>
        <v>855330.60000000009</v>
      </c>
      <c r="J133" s="787">
        <f t="shared" si="58"/>
        <v>0</v>
      </c>
      <c r="K133" s="787">
        <f t="shared" si="59"/>
        <v>0</v>
      </c>
      <c r="L133" s="787"/>
      <c r="M133" s="624">
        <v>883218.64</v>
      </c>
      <c r="N133" s="624"/>
      <c r="O133" s="624"/>
      <c r="P133" s="624"/>
      <c r="Q133" s="624"/>
      <c r="R133" s="787"/>
      <c r="S133" s="624">
        <v>827442.56</v>
      </c>
      <c r="T133" s="624"/>
      <c r="U133" s="624"/>
      <c r="V133" s="624"/>
      <c r="W133" s="624"/>
    </row>
    <row r="134" spans="1:23">
      <c r="A134" s="804">
        <f t="shared" si="60"/>
        <v>9.6199999999999868</v>
      </c>
      <c r="B134" s="624" t="s">
        <v>1340</v>
      </c>
      <c r="C134" s="787">
        <f t="shared" si="54"/>
        <v>3918987.58</v>
      </c>
      <c r="D134" s="787">
        <f t="shared" si="55"/>
        <v>2981491.84</v>
      </c>
      <c r="E134" s="787"/>
      <c r="F134" s="787"/>
      <c r="G134" s="787">
        <f t="shared" si="56"/>
        <v>3450240</v>
      </c>
      <c r="H134" s="787"/>
      <c r="I134" s="787">
        <f t="shared" si="57"/>
        <v>3450239.71</v>
      </c>
      <c r="J134" s="787">
        <f t="shared" si="58"/>
        <v>0</v>
      </c>
      <c r="K134" s="787">
        <f t="shared" si="59"/>
        <v>0</v>
      </c>
      <c r="L134" s="787"/>
      <c r="M134" s="624">
        <v>3918987.58</v>
      </c>
      <c r="N134" s="624"/>
      <c r="O134" s="624"/>
      <c r="P134" s="624"/>
      <c r="Q134" s="624"/>
      <c r="R134" s="787"/>
      <c r="S134" s="624">
        <v>2981491.84</v>
      </c>
      <c r="T134" s="624"/>
      <c r="U134" s="624"/>
      <c r="V134" s="624"/>
      <c r="W134" s="624"/>
    </row>
    <row r="135" spans="1:23">
      <c r="A135" s="804">
        <f t="shared" si="60"/>
        <v>9.6299999999999866</v>
      </c>
      <c r="B135" s="624" t="s">
        <v>1341</v>
      </c>
      <c r="C135" s="787">
        <f t="shared" si="54"/>
        <v>202139.45</v>
      </c>
      <c r="D135" s="787">
        <f t="shared" si="55"/>
        <v>168018.42</v>
      </c>
      <c r="E135" s="787"/>
      <c r="F135" s="787"/>
      <c r="G135" s="787">
        <f t="shared" si="56"/>
        <v>185079</v>
      </c>
      <c r="H135" s="787"/>
      <c r="I135" s="787">
        <f t="shared" si="57"/>
        <v>185078.935</v>
      </c>
      <c r="J135" s="787">
        <f t="shared" si="58"/>
        <v>0</v>
      </c>
      <c r="K135" s="787">
        <f t="shared" si="59"/>
        <v>0</v>
      </c>
      <c r="L135" s="787"/>
      <c r="M135" s="624">
        <v>202139.45</v>
      </c>
      <c r="N135" s="624"/>
      <c r="O135" s="624"/>
      <c r="P135" s="624"/>
      <c r="Q135" s="624"/>
      <c r="R135" s="787"/>
      <c r="S135" s="624">
        <v>168018.42</v>
      </c>
      <c r="T135" s="624"/>
      <c r="U135" s="624"/>
      <c r="V135" s="624"/>
      <c r="W135" s="624"/>
    </row>
    <row r="136" spans="1:23">
      <c r="A136" s="804">
        <f t="shared" si="60"/>
        <v>9.6399999999999864</v>
      </c>
      <c r="B136" s="624" t="s">
        <v>1342</v>
      </c>
      <c r="C136" s="787">
        <f t="shared" si="54"/>
        <v>-28210.440000000002</v>
      </c>
      <c r="D136" s="787">
        <f t="shared" si="55"/>
        <v>0</v>
      </c>
      <c r="E136" s="787"/>
      <c r="F136" s="787"/>
      <c r="G136" s="787">
        <f t="shared" si="56"/>
        <v>-14105</v>
      </c>
      <c r="H136" s="787"/>
      <c r="I136" s="787">
        <f t="shared" si="57"/>
        <v>-14105.220000000001</v>
      </c>
      <c r="J136" s="787">
        <f t="shared" si="58"/>
        <v>0</v>
      </c>
      <c r="K136" s="787">
        <f t="shared" si="59"/>
        <v>0</v>
      </c>
      <c r="L136" s="787"/>
      <c r="M136" s="624">
        <v>-28210.440000000002</v>
      </c>
      <c r="N136" s="624"/>
      <c r="O136" s="624"/>
      <c r="P136" s="624"/>
      <c r="Q136" s="624"/>
      <c r="R136" s="787"/>
      <c r="S136" s="624"/>
      <c r="T136" s="624"/>
      <c r="U136" s="624"/>
      <c r="V136" s="624"/>
      <c r="W136" s="624"/>
    </row>
    <row r="137" spans="1:23">
      <c r="A137" s="804">
        <f t="shared" si="60"/>
        <v>9.6499999999999861</v>
      </c>
      <c r="B137" s="624" t="s">
        <v>1343</v>
      </c>
      <c r="C137" s="787">
        <f t="shared" si="54"/>
        <v>12505.23</v>
      </c>
      <c r="D137" s="787">
        <f t="shared" si="55"/>
        <v>0</v>
      </c>
      <c r="E137" s="787"/>
      <c r="F137" s="787"/>
      <c r="G137" s="787">
        <f t="shared" si="56"/>
        <v>6253</v>
      </c>
      <c r="H137" s="787"/>
      <c r="I137" s="787">
        <f t="shared" si="57"/>
        <v>6252.6149999999998</v>
      </c>
      <c r="J137" s="787">
        <f t="shared" si="58"/>
        <v>0</v>
      </c>
      <c r="K137" s="787">
        <f t="shared" si="59"/>
        <v>0</v>
      </c>
      <c r="L137" s="787"/>
      <c r="M137" s="624">
        <v>12505.23</v>
      </c>
      <c r="N137" s="624"/>
      <c r="O137" s="624"/>
      <c r="P137" s="624"/>
      <c r="Q137" s="624"/>
      <c r="R137" s="787"/>
      <c r="S137" s="624"/>
      <c r="T137" s="624"/>
      <c r="U137" s="624"/>
      <c r="V137" s="624"/>
      <c r="W137" s="624"/>
    </row>
    <row r="138" spans="1:23">
      <c r="A138" s="804">
        <f t="shared" si="60"/>
        <v>9.6599999999999859</v>
      </c>
      <c r="B138" s="624" t="s">
        <v>1344</v>
      </c>
      <c r="C138" s="787">
        <f t="shared" ref="C138:C155" si="67">SUM(M138:Q138)</f>
        <v>-4809.03</v>
      </c>
      <c r="D138" s="787">
        <f t="shared" ref="D138:D155" si="68">SUM(S138:W138)</f>
        <v>0</v>
      </c>
      <c r="E138" s="787"/>
      <c r="F138" s="787"/>
      <c r="G138" s="787">
        <f t="shared" ref="G138:G155" si="69">ROUND(SUM(C138:F138)/2,0)</f>
        <v>-2405</v>
      </c>
      <c r="H138" s="787"/>
      <c r="I138" s="787">
        <f t="shared" ref="I138:I155" si="70">(M138+S138)/2</f>
        <v>-2404.5149999999999</v>
      </c>
      <c r="J138" s="787">
        <f t="shared" ref="J138:J155" si="71">(O138+U138)/2</f>
        <v>0</v>
      </c>
      <c r="K138" s="787">
        <f t="shared" ref="K138:K155" si="72">(P138+V138)/2</f>
        <v>0</v>
      </c>
      <c r="L138" s="787"/>
      <c r="M138" s="624">
        <v>-4809.03</v>
      </c>
      <c r="N138" s="624"/>
      <c r="O138" s="624"/>
      <c r="P138" s="624"/>
      <c r="Q138" s="624"/>
      <c r="R138" s="787"/>
      <c r="S138" s="624"/>
      <c r="T138" s="624"/>
      <c r="U138" s="624"/>
      <c r="V138" s="624"/>
      <c r="W138" s="624"/>
    </row>
    <row r="139" spans="1:23">
      <c r="A139" s="804">
        <f t="shared" si="60"/>
        <v>9.6699999999999857</v>
      </c>
      <c r="B139" s="624" t="s">
        <v>1345</v>
      </c>
      <c r="C139" s="791">
        <f t="shared" si="67"/>
        <v>9858090.2200000007</v>
      </c>
      <c r="D139" s="791">
        <f t="shared" si="68"/>
        <v>16445052.83</v>
      </c>
      <c r="E139" s="791"/>
      <c r="F139" s="791"/>
      <c r="G139" s="791">
        <f t="shared" si="69"/>
        <v>13151572</v>
      </c>
      <c r="H139" s="791"/>
      <c r="I139" s="791">
        <f t="shared" si="70"/>
        <v>13151571.525</v>
      </c>
      <c r="J139" s="791">
        <f t="shared" si="71"/>
        <v>0</v>
      </c>
      <c r="K139" s="791">
        <f t="shared" si="72"/>
        <v>0</v>
      </c>
      <c r="L139" s="791"/>
      <c r="M139" s="624">
        <v>9858090.2200000007</v>
      </c>
      <c r="N139" s="624"/>
      <c r="O139" s="624"/>
      <c r="P139" s="624"/>
      <c r="Q139" s="624"/>
      <c r="R139" s="791"/>
      <c r="S139" s="624">
        <v>16445052.83</v>
      </c>
      <c r="T139" s="624"/>
      <c r="U139" s="624"/>
      <c r="V139" s="624"/>
      <c r="W139" s="624"/>
    </row>
    <row r="140" spans="1:23">
      <c r="A140" s="804">
        <f t="shared" si="60"/>
        <v>9.6799999999999855</v>
      </c>
      <c r="B140" s="624" t="s">
        <v>1346</v>
      </c>
      <c r="C140" s="791">
        <f t="shared" si="67"/>
        <v>845992248.53999996</v>
      </c>
      <c r="D140" s="791">
        <f t="shared" si="68"/>
        <v>952473207.23000002</v>
      </c>
      <c r="E140" s="791"/>
      <c r="F140" s="791"/>
      <c r="G140" s="791">
        <f t="shared" si="69"/>
        <v>899232728</v>
      </c>
      <c r="H140" s="791"/>
      <c r="I140" s="791">
        <f t="shared" si="70"/>
        <v>0</v>
      </c>
      <c r="J140" s="791">
        <f t="shared" si="71"/>
        <v>0</v>
      </c>
      <c r="K140" s="791">
        <f t="shared" si="72"/>
        <v>0</v>
      </c>
      <c r="L140" s="791"/>
      <c r="M140" s="624"/>
      <c r="N140" s="624">
        <v>845992248.53999996</v>
      </c>
      <c r="O140" s="624"/>
      <c r="P140" s="624"/>
      <c r="Q140" s="624"/>
      <c r="R140" s="791"/>
      <c r="S140" s="624"/>
      <c r="T140" s="624">
        <v>952473207.23000002</v>
      </c>
      <c r="U140" s="624"/>
      <c r="V140" s="624"/>
      <c r="W140" s="624"/>
    </row>
    <row r="141" spans="1:23">
      <c r="A141" s="804">
        <f t="shared" si="60"/>
        <v>9.6899999999999853</v>
      </c>
      <c r="B141" s="624" t="s">
        <v>1347</v>
      </c>
      <c r="C141" s="787">
        <f t="shared" si="67"/>
        <v>2777547.52</v>
      </c>
      <c r="D141" s="787">
        <f t="shared" si="68"/>
        <v>6963024.1200000001</v>
      </c>
      <c r="E141" s="787"/>
      <c r="F141" s="787"/>
      <c r="G141" s="787">
        <f t="shared" si="69"/>
        <v>4870286</v>
      </c>
      <c r="H141" s="787"/>
      <c r="I141" s="787">
        <f t="shared" si="70"/>
        <v>0</v>
      </c>
      <c r="J141" s="787">
        <f t="shared" si="71"/>
        <v>0</v>
      </c>
      <c r="K141" s="787">
        <f t="shared" si="72"/>
        <v>0</v>
      </c>
      <c r="L141" s="787"/>
      <c r="M141" s="624"/>
      <c r="N141" s="624">
        <v>2777547.52</v>
      </c>
      <c r="O141" s="624"/>
      <c r="P141" s="624"/>
      <c r="Q141" s="624"/>
      <c r="R141" s="787"/>
      <c r="S141" s="624"/>
      <c r="T141" s="624">
        <v>6963024.1200000001</v>
      </c>
      <c r="U141" s="624"/>
      <c r="V141" s="624"/>
      <c r="W141" s="624"/>
    </row>
    <row r="142" spans="1:23">
      <c r="A142" s="804">
        <f t="shared" si="60"/>
        <v>9.6999999999999851</v>
      </c>
      <c r="B142" s="624" t="s">
        <v>1348</v>
      </c>
      <c r="C142" s="787">
        <f t="shared" si="67"/>
        <v>6254827.8399999999</v>
      </c>
      <c r="D142" s="787">
        <f t="shared" si="68"/>
        <v>10245808.689999999</v>
      </c>
      <c r="E142" s="787"/>
      <c r="F142" s="787"/>
      <c r="G142" s="787">
        <f t="shared" si="69"/>
        <v>8250318</v>
      </c>
      <c r="H142" s="787"/>
      <c r="I142" s="787">
        <f t="shared" si="70"/>
        <v>0</v>
      </c>
      <c r="J142" s="787">
        <f t="shared" si="71"/>
        <v>0</v>
      </c>
      <c r="K142" s="787">
        <f t="shared" si="72"/>
        <v>0</v>
      </c>
      <c r="L142" s="787"/>
      <c r="M142" s="624"/>
      <c r="N142" s="624">
        <v>6254827.8399999999</v>
      </c>
      <c r="O142" s="624"/>
      <c r="P142" s="624"/>
      <c r="Q142" s="624"/>
      <c r="R142" s="787"/>
      <c r="S142" s="624"/>
      <c r="T142" s="624">
        <v>10245808.689999999</v>
      </c>
      <c r="U142" s="624"/>
      <c r="V142" s="624"/>
      <c r="W142" s="624"/>
    </row>
    <row r="143" spans="1:23">
      <c r="A143" s="804">
        <f t="shared" si="60"/>
        <v>9.7099999999999849</v>
      </c>
      <c r="B143" s="624" t="s">
        <v>1349</v>
      </c>
      <c r="C143" s="787">
        <f t="shared" si="67"/>
        <v>2286715.5299999998</v>
      </c>
      <c r="D143" s="787">
        <f t="shared" si="68"/>
        <v>2131432.16</v>
      </c>
      <c r="E143" s="787"/>
      <c r="F143" s="787"/>
      <c r="G143" s="787">
        <f t="shared" si="69"/>
        <v>2209074</v>
      </c>
      <c r="H143" s="787"/>
      <c r="I143" s="787">
        <f t="shared" si="70"/>
        <v>8790.0700000000015</v>
      </c>
      <c r="J143" s="787">
        <f t="shared" si="71"/>
        <v>-0.48</v>
      </c>
      <c r="K143" s="787">
        <f t="shared" si="72"/>
        <v>2200284.105</v>
      </c>
      <c r="L143" s="787"/>
      <c r="M143" s="624">
        <v>17580.350000000002</v>
      </c>
      <c r="N143" s="624">
        <v>0.15</v>
      </c>
      <c r="O143" s="624">
        <v>-0.48</v>
      </c>
      <c r="P143" s="624">
        <v>2269135.5099999998</v>
      </c>
      <c r="Q143" s="624"/>
      <c r="R143" s="787"/>
      <c r="S143" s="624">
        <v>-0.21</v>
      </c>
      <c r="T143" s="624">
        <v>0.15</v>
      </c>
      <c r="U143" s="624">
        <v>-0.48</v>
      </c>
      <c r="V143" s="624">
        <v>2131432.7000000002</v>
      </c>
      <c r="W143" s="624"/>
    </row>
    <row r="144" spans="1:23">
      <c r="A144" s="804">
        <f t="shared" si="60"/>
        <v>9.7199999999999847</v>
      </c>
      <c r="B144" s="624" t="s">
        <v>1350</v>
      </c>
      <c r="C144" s="787">
        <f t="shared" si="67"/>
        <v>-0.47000000000000003</v>
      </c>
      <c r="D144" s="787">
        <f t="shared" si="68"/>
        <v>-0.47000000000000003</v>
      </c>
      <c r="E144" s="787"/>
      <c r="F144" s="787"/>
      <c r="G144" s="787">
        <f t="shared" si="69"/>
        <v>0</v>
      </c>
      <c r="H144" s="787"/>
      <c r="I144" s="787">
        <f t="shared" si="70"/>
        <v>-0.47000000000000003</v>
      </c>
      <c r="J144" s="787">
        <f t="shared" si="71"/>
        <v>0</v>
      </c>
      <c r="K144" s="787">
        <f t="shared" si="72"/>
        <v>0</v>
      </c>
      <c r="L144" s="787"/>
      <c r="M144" s="624">
        <v>-0.47000000000000003</v>
      </c>
      <c r="N144" s="624"/>
      <c r="O144" s="624"/>
      <c r="P144" s="624"/>
      <c r="Q144" s="624"/>
      <c r="R144" s="787"/>
      <c r="S144" s="624">
        <v>-0.47000000000000003</v>
      </c>
      <c r="T144" s="624"/>
      <c r="U144" s="624"/>
      <c r="V144" s="624"/>
      <c r="W144" s="624"/>
    </row>
    <row r="145" spans="1:23">
      <c r="A145" s="804">
        <f t="shared" si="60"/>
        <v>9.7299999999999844</v>
      </c>
      <c r="B145" s="624" t="s">
        <v>1351</v>
      </c>
      <c r="C145" s="787">
        <f t="shared" si="67"/>
        <v>-0.78</v>
      </c>
      <c r="D145" s="787">
        <f t="shared" si="68"/>
        <v>-0.78</v>
      </c>
      <c r="E145" s="787"/>
      <c r="F145" s="787"/>
      <c r="G145" s="787">
        <f t="shared" si="69"/>
        <v>-1</v>
      </c>
      <c r="H145" s="787"/>
      <c r="I145" s="787">
        <f t="shared" si="70"/>
        <v>0.21</v>
      </c>
      <c r="J145" s="787">
        <f t="shared" si="71"/>
        <v>-0.15</v>
      </c>
      <c r="K145" s="787">
        <f t="shared" si="72"/>
        <v>-0.43</v>
      </c>
      <c r="L145" s="787"/>
      <c r="M145" s="624">
        <v>0.21</v>
      </c>
      <c r="N145" s="624">
        <v>-0.41000000000000003</v>
      </c>
      <c r="O145" s="624">
        <v>-0.15</v>
      </c>
      <c r="P145" s="624">
        <v>-0.43</v>
      </c>
      <c r="Q145" s="624"/>
      <c r="R145" s="787"/>
      <c r="S145" s="624">
        <v>0.21</v>
      </c>
      <c r="T145" s="624">
        <v>-0.41000000000000003</v>
      </c>
      <c r="U145" s="624">
        <v>-0.15</v>
      </c>
      <c r="V145" s="624">
        <v>-0.43</v>
      </c>
      <c r="W145" s="624"/>
    </row>
    <row r="146" spans="1:23">
      <c r="A146" s="804">
        <f t="shared" si="60"/>
        <v>9.7399999999999842</v>
      </c>
      <c r="B146" s="624" t="s">
        <v>1352</v>
      </c>
      <c r="C146" s="787">
        <f t="shared" si="67"/>
        <v>971276.94000000018</v>
      </c>
      <c r="D146" s="787">
        <f t="shared" si="68"/>
        <v>759646.49999999988</v>
      </c>
      <c r="E146" s="787"/>
      <c r="F146" s="787"/>
      <c r="G146" s="787">
        <f t="shared" si="69"/>
        <v>865462</v>
      </c>
      <c r="H146" s="787"/>
      <c r="I146" s="787">
        <f t="shared" si="70"/>
        <v>300445.57500000001</v>
      </c>
      <c r="J146" s="787">
        <f t="shared" si="71"/>
        <v>33315.195</v>
      </c>
      <c r="K146" s="787">
        <f t="shared" si="72"/>
        <v>224733.90000000002</v>
      </c>
      <c r="L146" s="787"/>
      <c r="M146" s="624">
        <v>357173.4</v>
      </c>
      <c r="N146" s="624">
        <v>263934.90000000002</v>
      </c>
      <c r="O146" s="624">
        <v>42320.31</v>
      </c>
      <c r="P146" s="624">
        <v>307848.33</v>
      </c>
      <c r="Q146" s="624"/>
      <c r="R146" s="787"/>
      <c r="S146" s="624">
        <v>243717.75</v>
      </c>
      <c r="T146" s="624">
        <v>349999.2</v>
      </c>
      <c r="U146" s="624">
        <v>24310.080000000002</v>
      </c>
      <c r="V146" s="624">
        <v>141619.47</v>
      </c>
      <c r="W146" s="624"/>
    </row>
    <row r="147" spans="1:23">
      <c r="A147" s="804">
        <f t="shared" si="60"/>
        <v>9.749999999999984</v>
      </c>
      <c r="B147" s="624" t="s">
        <v>1353</v>
      </c>
      <c r="C147" s="787">
        <f t="shared" si="67"/>
        <v>19344.87</v>
      </c>
      <c r="D147" s="787">
        <f t="shared" si="68"/>
        <v>65861.240000000005</v>
      </c>
      <c r="E147" s="787"/>
      <c r="F147" s="787"/>
      <c r="G147" s="787">
        <f t="shared" si="69"/>
        <v>42603</v>
      </c>
      <c r="H147" s="787"/>
      <c r="I147" s="787">
        <f t="shared" si="70"/>
        <v>0</v>
      </c>
      <c r="J147" s="787">
        <f t="shared" si="71"/>
        <v>0</v>
      </c>
      <c r="K147" s="787">
        <f t="shared" si="72"/>
        <v>42603.055</v>
      </c>
      <c r="L147" s="787"/>
      <c r="M147" s="624"/>
      <c r="N147" s="624"/>
      <c r="O147" s="624"/>
      <c r="P147" s="624">
        <v>19344.87</v>
      </c>
      <c r="Q147" s="624"/>
      <c r="R147" s="787"/>
      <c r="S147" s="624"/>
      <c r="T147" s="624"/>
      <c r="U147" s="624"/>
      <c r="V147" s="624">
        <v>65861.240000000005</v>
      </c>
      <c r="W147" s="624"/>
    </row>
    <row r="148" spans="1:23">
      <c r="A148" s="804">
        <f t="shared" si="60"/>
        <v>9.7599999999999838</v>
      </c>
      <c r="B148" s="624" t="s">
        <v>1354</v>
      </c>
      <c r="C148" s="787">
        <f t="shared" si="67"/>
        <v>3504.26</v>
      </c>
      <c r="D148" s="787">
        <f t="shared" si="68"/>
        <v>14017.03</v>
      </c>
      <c r="E148" s="787"/>
      <c r="F148" s="787"/>
      <c r="G148" s="787">
        <f t="shared" si="69"/>
        <v>8761</v>
      </c>
      <c r="H148" s="787"/>
      <c r="I148" s="787">
        <f t="shared" si="70"/>
        <v>0</v>
      </c>
      <c r="J148" s="787">
        <f t="shared" si="71"/>
        <v>0</v>
      </c>
      <c r="K148" s="787">
        <f t="shared" si="72"/>
        <v>8760.6450000000004</v>
      </c>
      <c r="L148" s="787"/>
      <c r="M148" s="624"/>
      <c r="N148" s="624"/>
      <c r="O148" s="624"/>
      <c r="P148" s="624">
        <v>3504.26</v>
      </c>
      <c r="Q148" s="624"/>
      <c r="R148" s="787"/>
      <c r="S148" s="624"/>
      <c r="T148" s="624"/>
      <c r="U148" s="624"/>
      <c r="V148" s="624">
        <v>14017.03</v>
      </c>
      <c r="W148" s="624"/>
    </row>
    <row r="149" spans="1:23">
      <c r="A149" s="804">
        <f t="shared" si="60"/>
        <v>9.7699999999999836</v>
      </c>
      <c r="B149" s="624" t="s">
        <v>1439</v>
      </c>
      <c r="C149" s="787">
        <f t="shared" ref="C149:C151" si="73">SUM(M149:Q149)</f>
        <v>0</v>
      </c>
      <c r="D149" s="787">
        <f t="shared" ref="D149:D151" si="74">SUM(S149:W149)</f>
        <v>604.21</v>
      </c>
      <c r="E149" s="787"/>
      <c r="F149" s="787"/>
      <c r="G149" s="787">
        <f t="shared" ref="G149:G151" si="75">ROUND(SUM(C149:F149)/2,0)</f>
        <v>302</v>
      </c>
      <c r="H149" s="787"/>
      <c r="I149" s="787">
        <f t="shared" ref="I149:I151" si="76">(M149+S149)/2</f>
        <v>0</v>
      </c>
      <c r="J149" s="787">
        <f t="shared" ref="J149:J151" si="77">(O149+U149)/2</f>
        <v>0</v>
      </c>
      <c r="K149" s="787">
        <f t="shared" ref="K149:K151" si="78">(P149+V149)/2</f>
        <v>302.10500000000002</v>
      </c>
      <c r="L149" s="787"/>
      <c r="M149" s="624"/>
      <c r="N149" s="624"/>
      <c r="O149" s="624"/>
      <c r="P149" s="624"/>
      <c r="Q149" s="624"/>
      <c r="R149" s="787"/>
      <c r="S149" s="624"/>
      <c r="T149" s="624"/>
      <c r="U149" s="624"/>
      <c r="V149" s="624">
        <v>604.21</v>
      </c>
      <c r="W149" s="624"/>
    </row>
    <row r="150" spans="1:23">
      <c r="A150" s="804">
        <f t="shared" si="60"/>
        <v>9.7799999999999834</v>
      </c>
      <c r="B150" s="624" t="s">
        <v>1440</v>
      </c>
      <c r="C150" s="787">
        <f t="shared" si="73"/>
        <v>0</v>
      </c>
      <c r="D150" s="787">
        <f t="shared" si="74"/>
        <v>-236.71</v>
      </c>
      <c r="E150" s="787"/>
      <c r="F150" s="787"/>
      <c r="G150" s="787">
        <f t="shared" si="75"/>
        <v>-118</v>
      </c>
      <c r="H150" s="787"/>
      <c r="I150" s="787">
        <f t="shared" si="76"/>
        <v>0</v>
      </c>
      <c r="J150" s="787">
        <f t="shared" si="77"/>
        <v>0</v>
      </c>
      <c r="K150" s="787">
        <f t="shared" si="78"/>
        <v>-118.355</v>
      </c>
      <c r="L150" s="787"/>
      <c r="M150" s="624"/>
      <c r="N150" s="624"/>
      <c r="O150" s="624"/>
      <c r="P150" s="624"/>
      <c r="Q150" s="624"/>
      <c r="R150" s="787"/>
      <c r="S150" s="624"/>
      <c r="T150" s="624"/>
      <c r="U150" s="624"/>
      <c r="V150" s="624">
        <v>-236.71</v>
      </c>
      <c r="W150" s="624"/>
    </row>
    <row r="151" spans="1:23">
      <c r="A151" s="804">
        <f t="shared" si="60"/>
        <v>9.7899999999999832</v>
      </c>
      <c r="B151" s="624" t="s">
        <v>1441</v>
      </c>
      <c r="C151" s="787">
        <f t="shared" si="73"/>
        <v>0</v>
      </c>
      <c r="D151" s="787">
        <f t="shared" si="74"/>
        <v>36410.370000000003</v>
      </c>
      <c r="E151" s="787"/>
      <c r="F151" s="787"/>
      <c r="G151" s="787">
        <f t="shared" si="75"/>
        <v>18205</v>
      </c>
      <c r="H151" s="787"/>
      <c r="I151" s="787">
        <f t="shared" si="76"/>
        <v>0</v>
      </c>
      <c r="J151" s="787">
        <f t="shared" si="77"/>
        <v>0</v>
      </c>
      <c r="K151" s="787">
        <f t="shared" si="78"/>
        <v>18205.185000000001</v>
      </c>
      <c r="L151" s="787"/>
      <c r="M151" s="624"/>
      <c r="N151" s="624"/>
      <c r="O151" s="624"/>
      <c r="P151" s="624"/>
      <c r="Q151" s="624"/>
      <c r="R151" s="787"/>
      <c r="S151" s="624"/>
      <c r="T151" s="624"/>
      <c r="U151" s="624"/>
      <c r="V151" s="624">
        <v>36410.370000000003</v>
      </c>
      <c r="W151" s="624"/>
    </row>
    <row r="152" spans="1:23">
      <c r="A152" s="804">
        <f t="shared" si="60"/>
        <v>9.7999999999999829</v>
      </c>
      <c r="B152" s="624" t="s">
        <v>1437</v>
      </c>
      <c r="C152" s="787">
        <f t="shared" ref="C152:C153" si="79">SUM(M152:Q152)</f>
        <v>0</v>
      </c>
      <c r="D152" s="787">
        <f t="shared" ref="D152:D153" si="80">SUM(S152:W152)</f>
        <v>2291953.23</v>
      </c>
      <c r="E152" s="787"/>
      <c r="F152" s="787"/>
      <c r="G152" s="787">
        <f t="shared" ref="G152:G153" si="81">ROUND(SUM(C152:F152)/2,0)</f>
        <v>1145977</v>
      </c>
      <c r="H152" s="787"/>
      <c r="I152" s="787">
        <f t="shared" ref="I152:I153" si="82">(M152+S152)/2</f>
        <v>1145976.615</v>
      </c>
      <c r="J152" s="787">
        <f t="shared" ref="J152:J153" si="83">(O152+U152)/2</f>
        <v>0</v>
      </c>
      <c r="K152" s="787">
        <f t="shared" ref="K152:K153" si="84">(P152+V152)/2</f>
        <v>0</v>
      </c>
      <c r="L152" s="787"/>
      <c r="M152" s="624"/>
      <c r="N152" s="624"/>
      <c r="O152" s="624"/>
      <c r="P152" s="624"/>
      <c r="Q152" s="624"/>
      <c r="R152" s="787"/>
      <c r="S152" s="624">
        <v>2291953.23</v>
      </c>
      <c r="T152" s="624"/>
      <c r="U152" s="624"/>
      <c r="V152" s="624"/>
      <c r="W152" s="624"/>
    </row>
    <row r="153" spans="1:23">
      <c r="A153" s="804">
        <f t="shared" si="60"/>
        <v>9.8099999999999827</v>
      </c>
      <c r="B153" s="624" t="s">
        <v>1438</v>
      </c>
      <c r="C153" s="787">
        <f t="shared" si="79"/>
        <v>0</v>
      </c>
      <c r="D153" s="787">
        <f t="shared" si="80"/>
        <v>1065803.56</v>
      </c>
      <c r="E153" s="787"/>
      <c r="F153" s="787"/>
      <c r="G153" s="787">
        <f t="shared" si="81"/>
        <v>532902</v>
      </c>
      <c r="H153" s="787"/>
      <c r="I153" s="787">
        <f t="shared" si="82"/>
        <v>532901.78</v>
      </c>
      <c r="J153" s="787">
        <f t="shared" si="83"/>
        <v>0</v>
      </c>
      <c r="K153" s="787">
        <f t="shared" si="84"/>
        <v>0</v>
      </c>
      <c r="L153" s="787"/>
      <c r="M153" s="624"/>
      <c r="N153" s="624"/>
      <c r="O153" s="624"/>
      <c r="P153" s="624"/>
      <c r="Q153" s="624"/>
      <c r="R153" s="787"/>
      <c r="S153" s="624">
        <v>1065803.56</v>
      </c>
      <c r="T153" s="624"/>
      <c r="U153" s="624"/>
      <c r="V153" s="624"/>
      <c r="W153" s="624"/>
    </row>
    <row r="154" spans="1:23">
      <c r="A154" s="804">
        <f t="shared" si="60"/>
        <v>9.8199999999999825</v>
      </c>
      <c r="B154" s="624" t="s">
        <v>1355</v>
      </c>
      <c r="C154" s="787">
        <f t="shared" si="67"/>
        <v>495849.9</v>
      </c>
      <c r="D154" s="787">
        <f t="shared" si="68"/>
        <v>5697182.1900000004</v>
      </c>
      <c r="E154" s="787"/>
      <c r="F154" s="787"/>
      <c r="G154" s="787">
        <f t="shared" si="69"/>
        <v>3096516</v>
      </c>
      <c r="H154" s="787"/>
      <c r="I154" s="787">
        <f t="shared" si="70"/>
        <v>3096516.0450000004</v>
      </c>
      <c r="J154" s="787">
        <f t="shared" si="71"/>
        <v>0</v>
      </c>
      <c r="K154" s="787">
        <f t="shared" si="72"/>
        <v>0</v>
      </c>
      <c r="L154" s="787"/>
      <c r="M154" s="624">
        <v>495849.9</v>
      </c>
      <c r="N154" s="624"/>
      <c r="O154" s="624"/>
      <c r="P154" s="624"/>
      <c r="Q154" s="624"/>
      <c r="R154" s="787"/>
      <c r="S154" s="624">
        <v>5697182.1900000004</v>
      </c>
      <c r="T154" s="624"/>
      <c r="U154" s="624"/>
      <c r="V154" s="624"/>
      <c r="W154" s="624"/>
    </row>
    <row r="155" spans="1:23">
      <c r="A155" s="804">
        <f t="shared" si="60"/>
        <v>9.8299999999999823</v>
      </c>
      <c r="B155" s="624" t="s">
        <v>1356</v>
      </c>
      <c r="C155" s="787">
        <f t="shared" si="67"/>
        <v>-6319291.8399999999</v>
      </c>
      <c r="D155" s="787">
        <f t="shared" si="68"/>
        <v>-7206529.8700000001</v>
      </c>
      <c r="E155" s="787"/>
      <c r="F155" s="787"/>
      <c r="G155" s="787">
        <f t="shared" si="69"/>
        <v>-6762911</v>
      </c>
      <c r="H155" s="787"/>
      <c r="I155" s="787">
        <f t="shared" si="70"/>
        <v>-1333534.44</v>
      </c>
      <c r="J155" s="787">
        <f t="shared" si="71"/>
        <v>-401068.5</v>
      </c>
      <c r="K155" s="787">
        <f t="shared" si="72"/>
        <v>-2157713.86</v>
      </c>
      <c r="L155" s="787"/>
      <c r="M155" s="624">
        <v>-1311992.6400000001</v>
      </c>
      <c r="N155" s="624">
        <v>-2822669.01</v>
      </c>
      <c r="O155" s="624">
        <v>-313837.02</v>
      </c>
      <c r="P155" s="624">
        <v>-1870793.17</v>
      </c>
      <c r="Q155" s="624"/>
      <c r="R155" s="787"/>
      <c r="S155" s="624">
        <v>-1355076.24</v>
      </c>
      <c r="T155" s="624">
        <v>-2918519.1</v>
      </c>
      <c r="U155" s="624">
        <v>-488299.98</v>
      </c>
      <c r="V155" s="624">
        <v>-2444634.5499999998</v>
      </c>
      <c r="W155" s="624"/>
    </row>
    <row r="156" spans="1:23">
      <c r="A156" s="804">
        <f t="shared" si="60"/>
        <v>9.8399999999999821</v>
      </c>
      <c r="B156" s="1094" t="s">
        <v>1087</v>
      </c>
      <c r="C156" s="1094">
        <f t="shared" ref="C156" si="85">SUM(M156:P156)</f>
        <v>0</v>
      </c>
      <c r="D156" s="1094">
        <f t="shared" ref="D156" si="86">SUM(S156:V156)</f>
        <v>0</v>
      </c>
      <c r="E156" s="1095"/>
      <c r="F156" s="1095"/>
      <c r="G156" s="787">
        <f t="shared" ref="G156" si="87">ROUND(SUM(C156:F156)/2,0)</f>
        <v>0</v>
      </c>
      <c r="H156" s="787"/>
      <c r="I156" s="787">
        <f t="shared" ref="I156" si="88">(M156+S156)/2</f>
        <v>0</v>
      </c>
      <c r="J156" s="787">
        <f t="shared" ref="J156" si="89">(O156+U156)/2</f>
        <v>0</v>
      </c>
      <c r="K156" s="787">
        <f t="shared" ref="K156" si="90">(P156+V156)/2</f>
        <v>0</v>
      </c>
      <c r="L156" s="787"/>
      <c r="M156" s="624">
        <v>0</v>
      </c>
      <c r="N156" s="624">
        <v>0</v>
      </c>
      <c r="O156" s="624">
        <v>0</v>
      </c>
      <c r="P156" s="624">
        <v>0</v>
      </c>
      <c r="Q156" s="624">
        <v>0</v>
      </c>
      <c r="R156" s="787"/>
      <c r="S156" s="624"/>
      <c r="T156" s="624"/>
      <c r="U156" s="624"/>
      <c r="V156" s="624"/>
      <c r="W156" s="624"/>
    </row>
    <row r="157" spans="1:23">
      <c r="A157" s="804">
        <f t="shared" si="60"/>
        <v>9.8499999999999819</v>
      </c>
      <c r="B157" s="1094" t="s">
        <v>1088</v>
      </c>
      <c r="C157" s="1094">
        <f t="shared" ref="C157:D159" si="91">-E157</f>
        <v>0</v>
      </c>
      <c r="D157" s="1094">
        <f t="shared" si="91"/>
        <v>0</v>
      </c>
      <c r="E157" s="1095">
        <f>C156</f>
        <v>0</v>
      </c>
      <c r="F157" s="1095">
        <f>D156</f>
        <v>0</v>
      </c>
      <c r="G157" s="787">
        <f t="shared" ref="G157:G164" si="92">ROUND(SUM(C157:F157)/2,0)</f>
        <v>0</v>
      </c>
      <c r="H157" s="787"/>
      <c r="I157" s="787"/>
      <c r="J157" s="787"/>
      <c r="K157" s="787"/>
      <c r="L157" s="787"/>
      <c r="M157" s="624"/>
      <c r="N157" s="624"/>
      <c r="O157" s="624"/>
      <c r="P157" s="624"/>
      <c r="Q157" s="624"/>
      <c r="R157" s="787"/>
      <c r="S157" s="624"/>
      <c r="T157" s="624"/>
      <c r="U157" s="624"/>
      <c r="V157" s="624"/>
      <c r="W157" s="624"/>
    </row>
    <row r="158" spans="1:23">
      <c r="A158" s="804">
        <f t="shared" si="60"/>
        <v>9.8599999999999817</v>
      </c>
      <c r="B158" s="624" t="s">
        <v>958</v>
      </c>
      <c r="C158" s="624">
        <f t="shared" si="91"/>
        <v>1643929.51</v>
      </c>
      <c r="D158" s="624">
        <f t="shared" si="91"/>
        <v>589943.26</v>
      </c>
      <c r="E158" s="787">
        <v>-1643929.51</v>
      </c>
      <c r="F158" s="787">
        <v>-589943.26</v>
      </c>
      <c r="G158" s="787">
        <f t="shared" si="92"/>
        <v>0</v>
      </c>
      <c r="H158" s="787"/>
      <c r="I158" s="787"/>
      <c r="J158" s="787"/>
      <c r="K158" s="787"/>
      <c r="L158" s="787"/>
      <c r="M158" s="787"/>
      <c r="N158" s="787"/>
      <c r="O158" s="787"/>
      <c r="P158" s="787"/>
      <c r="Q158" s="787"/>
      <c r="R158" s="787"/>
      <c r="S158" s="787"/>
      <c r="T158" s="787"/>
      <c r="U158" s="787"/>
      <c r="V158" s="787"/>
      <c r="W158" s="787"/>
    </row>
    <row r="159" spans="1:23">
      <c r="A159" s="804">
        <f t="shared" si="60"/>
        <v>9.8699999999999815</v>
      </c>
      <c r="B159" s="624" t="s">
        <v>1170</v>
      </c>
      <c r="C159" s="624">
        <f t="shared" si="91"/>
        <v>1915052.29</v>
      </c>
      <c r="D159" s="624">
        <f t="shared" si="91"/>
        <v>1196282.33</v>
      </c>
      <c r="E159" s="787">
        <v>-1915052.29</v>
      </c>
      <c r="F159" s="787">
        <v>-1196282.33</v>
      </c>
      <c r="G159" s="787"/>
      <c r="H159" s="787"/>
      <c r="I159" s="787"/>
      <c r="J159" s="787"/>
      <c r="K159" s="787"/>
      <c r="L159" s="787"/>
      <c r="M159" s="787"/>
      <c r="N159" s="787"/>
      <c r="O159" s="787"/>
      <c r="P159" s="787"/>
      <c r="Q159" s="787"/>
      <c r="R159" s="787"/>
      <c r="S159" s="787"/>
      <c r="T159" s="787"/>
      <c r="U159" s="787"/>
      <c r="V159" s="787"/>
      <c r="W159" s="787"/>
    </row>
    <row r="160" spans="1:23">
      <c r="A160" s="804">
        <f t="shared" si="60"/>
        <v>9.8799999999999812</v>
      </c>
      <c r="B160" s="624" t="s">
        <v>965</v>
      </c>
      <c r="C160" s="624">
        <f t="shared" ref="C160:C164" si="93">-E160</f>
        <v>85569272.319999993</v>
      </c>
      <c r="D160" s="624">
        <f t="shared" ref="D160:D164" si="94">-F160</f>
        <v>83830530.890000001</v>
      </c>
      <c r="E160" s="787">
        <v>-85569272.319999993</v>
      </c>
      <c r="F160" s="787">
        <v>-83830530.890000001</v>
      </c>
      <c r="G160" s="787">
        <f t="shared" si="92"/>
        <v>0</v>
      </c>
      <c r="H160" s="787"/>
      <c r="I160" s="787"/>
      <c r="J160" s="787"/>
      <c r="K160" s="787"/>
      <c r="L160" s="787"/>
      <c r="M160" s="787"/>
      <c r="N160" s="787"/>
      <c r="O160" s="787"/>
      <c r="P160" s="787"/>
      <c r="Q160" s="787"/>
      <c r="R160" s="787"/>
      <c r="S160" s="787"/>
      <c r="T160" s="787"/>
      <c r="U160" s="787"/>
      <c r="V160" s="787"/>
      <c r="W160" s="787"/>
    </row>
    <row r="161" spans="1:23">
      <c r="A161" s="804">
        <f t="shared" si="60"/>
        <v>9.889999999999981</v>
      </c>
      <c r="B161" s="624" t="s">
        <v>966</v>
      </c>
      <c r="C161" s="624">
        <f t="shared" si="93"/>
        <v>3866616.99</v>
      </c>
      <c r="D161" s="624">
        <f t="shared" si="94"/>
        <v>25377160.350000001</v>
      </c>
      <c r="E161" s="787">
        <v>-3866616.99</v>
      </c>
      <c r="F161" s="787">
        <v>-25377160.350000001</v>
      </c>
      <c r="G161" s="787">
        <f t="shared" si="92"/>
        <v>0</v>
      </c>
      <c r="H161" s="787"/>
      <c r="I161" s="787"/>
      <c r="J161" s="787"/>
      <c r="K161" s="787"/>
      <c r="L161" s="787"/>
      <c r="M161" s="787"/>
      <c r="N161" s="787"/>
      <c r="O161" s="787"/>
      <c r="P161" s="787"/>
      <c r="Q161" s="787"/>
      <c r="R161" s="787"/>
      <c r="S161" s="787"/>
      <c r="T161" s="787"/>
      <c r="U161" s="787"/>
      <c r="V161" s="787"/>
      <c r="W161" s="787"/>
    </row>
    <row r="162" spans="1:23">
      <c r="A162" s="804">
        <f t="shared" si="60"/>
        <v>9.8999999999999808</v>
      </c>
      <c r="B162" s="624" t="s">
        <v>1086</v>
      </c>
      <c r="C162" s="624">
        <f t="shared" ref="C162" si="95">-E162</f>
        <v>-2715927</v>
      </c>
      <c r="D162" s="624">
        <f t="shared" ref="D162" si="96">-F162</f>
        <v>-2576431</v>
      </c>
      <c r="E162" s="787">
        <v>2715927</v>
      </c>
      <c r="F162" s="787">
        <v>2576431</v>
      </c>
      <c r="G162" s="787">
        <f t="shared" si="92"/>
        <v>0</v>
      </c>
      <c r="H162" s="787"/>
      <c r="I162" s="787"/>
      <c r="J162" s="787"/>
      <c r="K162" s="787"/>
      <c r="L162" s="787"/>
      <c r="M162" s="787"/>
      <c r="N162" s="787"/>
      <c r="O162" s="787"/>
      <c r="P162" s="787"/>
      <c r="Q162" s="787"/>
      <c r="R162" s="787"/>
      <c r="S162" s="787"/>
      <c r="T162" s="787"/>
      <c r="U162" s="787"/>
      <c r="V162" s="787"/>
      <c r="W162" s="787"/>
    </row>
    <row r="163" spans="1:23">
      <c r="A163" s="804">
        <f t="shared" si="60"/>
        <v>9.9099999999999806</v>
      </c>
      <c r="B163" s="624" t="s">
        <v>1418</v>
      </c>
      <c r="C163" s="624">
        <f t="shared" si="93"/>
        <v>0</v>
      </c>
      <c r="D163" s="624">
        <f t="shared" si="94"/>
        <v>5776917.1600000001</v>
      </c>
      <c r="E163" s="787">
        <v>0</v>
      </c>
      <c r="F163" s="787">
        <v>-5776917.1600000001</v>
      </c>
      <c r="G163" s="787">
        <f t="shared" si="92"/>
        <v>0</v>
      </c>
      <c r="H163" s="787"/>
      <c r="I163" s="787"/>
      <c r="J163" s="787"/>
      <c r="K163" s="787"/>
      <c r="L163" s="787"/>
      <c r="M163" s="787"/>
      <c r="N163" s="787"/>
      <c r="O163" s="787"/>
      <c r="P163" s="787"/>
      <c r="Q163" s="787"/>
      <c r="R163" s="787"/>
      <c r="S163" s="787"/>
      <c r="T163" s="787"/>
      <c r="U163" s="787"/>
      <c r="V163" s="787"/>
      <c r="W163" s="787"/>
    </row>
    <row r="164" spans="1:23">
      <c r="A164" s="804">
        <f t="shared" si="60"/>
        <v>9.9199999999999804</v>
      </c>
      <c r="B164" s="624" t="s">
        <v>967</v>
      </c>
      <c r="C164" s="624">
        <f t="shared" si="93"/>
        <v>0</v>
      </c>
      <c r="D164" s="624">
        <f t="shared" si="94"/>
        <v>0</v>
      </c>
      <c r="E164" s="787">
        <v>0</v>
      </c>
      <c r="F164" s="787">
        <v>0</v>
      </c>
      <c r="G164" s="787">
        <f t="shared" si="92"/>
        <v>0</v>
      </c>
      <c r="H164" s="787"/>
      <c r="I164" s="787"/>
      <c r="J164" s="787"/>
      <c r="K164" s="787"/>
      <c r="L164" s="787"/>
      <c r="M164" s="787"/>
      <c r="N164" s="787"/>
      <c r="O164" s="787"/>
      <c r="P164" s="787"/>
      <c r="Q164" s="787"/>
      <c r="R164" s="787"/>
      <c r="S164" s="787"/>
      <c r="T164" s="787"/>
      <c r="U164" s="787"/>
      <c r="V164" s="787"/>
      <c r="W164" s="787"/>
    </row>
    <row r="165" spans="1:23">
      <c r="A165" s="794"/>
      <c r="B165" s="781"/>
      <c r="C165" s="787"/>
      <c r="D165" s="787"/>
      <c r="E165" s="787"/>
      <c r="F165" s="787"/>
      <c r="G165" s="787"/>
      <c r="H165" s="787"/>
      <c r="I165" s="787"/>
      <c r="J165" s="787"/>
      <c r="K165" s="787"/>
      <c r="L165" s="787"/>
      <c r="M165" s="787"/>
      <c r="N165" s="787"/>
      <c r="O165" s="787"/>
      <c r="P165" s="787"/>
      <c r="Q165" s="787"/>
      <c r="R165" s="787"/>
      <c r="S165" s="787"/>
      <c r="T165" s="787"/>
      <c r="U165" s="787"/>
      <c r="V165" s="787"/>
      <c r="W165" s="787"/>
    </row>
    <row r="166" spans="1:23">
      <c r="A166" s="794"/>
      <c r="B166" s="781"/>
      <c r="C166" s="787"/>
      <c r="D166" s="787"/>
      <c r="E166" s="787"/>
      <c r="F166" s="787"/>
      <c r="G166" s="787"/>
      <c r="H166" s="787"/>
      <c r="I166" s="787"/>
      <c r="J166" s="787"/>
      <c r="K166" s="787"/>
      <c r="L166" s="787"/>
      <c r="M166" s="787"/>
      <c r="N166" s="787"/>
      <c r="O166" s="787"/>
      <c r="P166" s="787"/>
      <c r="Q166" s="787"/>
      <c r="R166" s="787"/>
      <c r="S166" s="787"/>
      <c r="T166" s="787"/>
      <c r="U166" s="787"/>
      <c r="V166" s="787"/>
      <c r="W166" s="787"/>
    </row>
    <row r="167" spans="1:23" ht="13.5" thickBot="1">
      <c r="A167" s="794">
        <v>12</v>
      </c>
      <c r="C167" s="789">
        <f>SUM(C73:C166)</f>
        <v>989331145.07999992</v>
      </c>
      <c r="D167" s="789">
        <f>SUM(D73:D166)</f>
        <v>1132245466.5</v>
      </c>
      <c r="E167" s="789">
        <f>SUM(E73:E166)</f>
        <v>-90278944.109999985</v>
      </c>
      <c r="F167" s="789">
        <f>SUM(F73:F166)</f>
        <v>-114194402.99000001</v>
      </c>
      <c r="G167" s="789">
        <f>SUM(G73:G166)</f>
        <v>958551634</v>
      </c>
      <c r="H167" s="792"/>
      <c r="I167" s="789">
        <f>SUM(I73:I166)</f>
        <v>26135414.440000001</v>
      </c>
      <c r="J167" s="789">
        <f>SUM(J73:J166)</f>
        <v>-2326258.3499999996</v>
      </c>
      <c r="K167" s="789">
        <f>SUM(K73:K166)</f>
        <v>16102550.93</v>
      </c>
      <c r="L167" s="792"/>
      <c r="M167" s="789">
        <f>SUM(M73:M166)</f>
        <v>23296909.07</v>
      </c>
      <c r="N167" s="789">
        <f>SUM(N73:N166)</f>
        <v>860990121.43999994</v>
      </c>
      <c r="O167" s="789">
        <f>SUM(O73:O166)</f>
        <v>-3233322.8099999996</v>
      </c>
      <c r="P167" s="789">
        <f>SUM(P73:P166)</f>
        <v>17998493.269999996</v>
      </c>
      <c r="Q167" s="789">
        <f>SUM(Q73:Q166)</f>
        <v>0</v>
      </c>
      <c r="R167" s="792"/>
      <c r="S167" s="789">
        <f>SUM(S73:S166)</f>
        <v>28973919.810000002</v>
      </c>
      <c r="T167" s="789">
        <f>SUM(T73:T166)</f>
        <v>976289729.00000012</v>
      </c>
      <c r="U167" s="789">
        <f>SUM(U73:U166)</f>
        <v>-1419193.8900000001</v>
      </c>
      <c r="V167" s="789">
        <f>SUM(V73:V166)</f>
        <v>14206608.589999996</v>
      </c>
      <c r="W167" s="789">
        <f>SUM(W73:W166)</f>
        <v>0</v>
      </c>
    </row>
    <row r="168" spans="1:23" ht="13.5" thickTop="1">
      <c r="A168" s="794"/>
      <c r="B168" s="781"/>
      <c r="C168" s="790"/>
      <c r="D168" s="790"/>
      <c r="E168" s="790"/>
      <c r="F168" s="790"/>
      <c r="G168" s="790"/>
      <c r="H168" s="787"/>
      <c r="I168" s="790"/>
      <c r="J168" s="790"/>
      <c r="K168" s="790"/>
      <c r="L168" s="787"/>
      <c r="M168" s="790"/>
      <c r="N168" s="790"/>
      <c r="O168" s="790"/>
      <c r="P168" s="790"/>
      <c r="Q168" s="790"/>
      <c r="R168" s="787"/>
      <c r="S168" s="790"/>
      <c r="T168" s="790"/>
      <c r="U168" s="790"/>
      <c r="V168" s="790"/>
      <c r="W168" s="790"/>
    </row>
    <row r="169" spans="1:23">
      <c r="A169" s="794"/>
      <c r="B169" s="781"/>
      <c r="C169" s="787"/>
      <c r="D169" s="787"/>
      <c r="E169" s="787"/>
      <c r="F169" s="787"/>
      <c r="G169" s="787"/>
      <c r="H169" s="787"/>
      <c r="I169" s="787"/>
      <c r="J169" s="787"/>
      <c r="K169" s="787"/>
      <c r="L169" s="787"/>
      <c r="M169" s="787"/>
      <c r="N169" s="787"/>
      <c r="O169" s="787"/>
      <c r="P169" s="787"/>
      <c r="Q169" s="787"/>
      <c r="R169" s="787"/>
      <c r="S169" s="787"/>
      <c r="T169" s="787"/>
      <c r="U169" s="787"/>
      <c r="V169" s="787"/>
      <c r="W169" s="787"/>
    </row>
    <row r="170" spans="1:23">
      <c r="A170" s="794">
        <f>+A167+1</f>
        <v>13</v>
      </c>
      <c r="B170" t="s">
        <v>724</v>
      </c>
      <c r="C170" s="787">
        <f>SUM(M170:Q170)</f>
        <v>0</v>
      </c>
      <c r="D170" s="787">
        <f>SUM(S170:W170)</f>
        <v>0</v>
      </c>
      <c r="E170" s="787"/>
      <c r="F170" s="787"/>
      <c r="G170" s="787">
        <f>ROUND(SUM(C170:F170)/2,0)</f>
        <v>0</v>
      </c>
      <c r="H170" s="787"/>
      <c r="I170" s="787">
        <f>(M170+S170)/2</f>
        <v>0</v>
      </c>
      <c r="J170" s="787">
        <f>(O170+U170)/2</f>
        <v>0</v>
      </c>
      <c r="K170" s="787">
        <f>(P170+V170)/2</f>
        <v>0</v>
      </c>
      <c r="L170" s="787"/>
      <c r="M170" s="624"/>
      <c r="N170" s="624"/>
      <c r="O170" s="624"/>
      <c r="P170" s="624"/>
      <c r="Q170" s="624"/>
      <c r="R170" s="787"/>
      <c r="S170" s="624"/>
      <c r="T170" s="624"/>
      <c r="U170" s="624"/>
      <c r="V170" s="624"/>
      <c r="W170" s="624"/>
    </row>
    <row r="171" spans="1:23">
      <c r="A171" s="804">
        <f>A170+0.01</f>
        <v>13.01</v>
      </c>
      <c r="B171" s="624" t="s">
        <v>968</v>
      </c>
      <c r="C171" s="624">
        <f>-E171</f>
        <v>234468397.59999999</v>
      </c>
      <c r="D171" s="624">
        <f>-F171</f>
        <v>215603807.40000001</v>
      </c>
      <c r="E171" s="787">
        <v>-234468397.59999999</v>
      </c>
      <c r="F171" s="787">
        <v>-215603807.40000001</v>
      </c>
      <c r="G171" s="787">
        <f>ROUND(SUM(C171:F171)/2,0)</f>
        <v>0</v>
      </c>
      <c r="H171" s="787"/>
      <c r="I171" s="787"/>
      <c r="J171" s="787"/>
      <c r="K171" s="787"/>
      <c r="L171" s="787"/>
      <c r="M171" s="787"/>
      <c r="N171" s="787"/>
      <c r="O171" s="787"/>
      <c r="P171" s="787"/>
      <c r="Q171" s="787"/>
      <c r="R171" s="787"/>
      <c r="S171" s="787"/>
      <c r="T171" s="787"/>
      <c r="U171" s="787"/>
      <c r="V171" s="787"/>
      <c r="W171" s="787"/>
    </row>
    <row r="172" spans="1:23">
      <c r="A172" s="794"/>
      <c r="B172" s="781"/>
      <c r="C172" s="787"/>
      <c r="D172" s="787"/>
      <c r="E172" s="787"/>
      <c r="F172" s="787"/>
      <c r="G172" s="787"/>
      <c r="H172" s="787"/>
      <c r="I172" s="787"/>
      <c r="J172" s="787"/>
      <c r="K172" s="787"/>
      <c r="L172" s="787"/>
      <c r="M172" s="787"/>
      <c r="N172" s="787"/>
      <c r="O172" s="787"/>
      <c r="P172" s="787"/>
      <c r="Q172" s="787"/>
      <c r="R172" s="787"/>
      <c r="S172" s="787"/>
      <c r="T172" s="787"/>
      <c r="U172" s="787"/>
      <c r="V172" s="787"/>
      <c r="W172" s="787"/>
    </row>
    <row r="173" spans="1:23" ht="13.5" thickBot="1">
      <c r="A173" s="794">
        <f>+A170+1</f>
        <v>14</v>
      </c>
      <c r="B173" s="4" t="s">
        <v>725</v>
      </c>
      <c r="C173" s="789">
        <f>SUM(C167:C172)</f>
        <v>1223799542.6799998</v>
      </c>
      <c r="D173" s="789">
        <f>SUM(D167:D172)</f>
        <v>1347849273.9000001</v>
      </c>
      <c r="E173" s="789">
        <f>SUM(E167:E172)</f>
        <v>-324747341.70999998</v>
      </c>
      <c r="F173" s="789">
        <f>SUM(F167:F172)</f>
        <v>-329798210.38999999</v>
      </c>
      <c r="G173" s="789">
        <f>SUM(G167:G172)</f>
        <v>958551634</v>
      </c>
      <c r="H173" s="787"/>
      <c r="I173" s="789">
        <f>SUM(I167:I172)</f>
        <v>26135414.440000001</v>
      </c>
      <c r="J173" s="789">
        <f>SUM(J167:J172)</f>
        <v>-2326258.3499999996</v>
      </c>
      <c r="K173" s="789">
        <f>SUM(K167:K172)</f>
        <v>16102550.93</v>
      </c>
      <c r="L173" s="787"/>
      <c r="M173" s="789">
        <f>SUM(M167:M172)</f>
        <v>23296909.07</v>
      </c>
      <c r="N173" s="789">
        <f t="shared" ref="N173:Q173" si="97">SUM(N167:N172)</f>
        <v>860990121.43999994</v>
      </c>
      <c r="O173" s="789">
        <f t="shared" si="97"/>
        <v>-3233322.8099999996</v>
      </c>
      <c r="P173" s="789">
        <f t="shared" si="97"/>
        <v>17998493.269999996</v>
      </c>
      <c r="Q173" s="789">
        <f t="shared" si="97"/>
        <v>0</v>
      </c>
      <c r="R173" s="787"/>
      <c r="S173" s="789">
        <f>SUM(S167:S172)</f>
        <v>28973919.810000002</v>
      </c>
      <c r="T173" s="789">
        <f t="shared" ref="T173:W173" si="98">SUM(T167:T172)</f>
        <v>976289729.00000012</v>
      </c>
      <c r="U173" s="789">
        <f t="shared" si="98"/>
        <v>-1419193.8900000001</v>
      </c>
      <c r="V173" s="789">
        <f t="shared" si="98"/>
        <v>14206608.589999996</v>
      </c>
      <c r="W173" s="789">
        <f t="shared" si="98"/>
        <v>0</v>
      </c>
    </row>
    <row r="174" spans="1:23" ht="13.5" thickTop="1">
      <c r="A174" s="794">
        <f>A173+1</f>
        <v>15</v>
      </c>
      <c r="B174" s="20" t="s">
        <v>736</v>
      </c>
      <c r="C174" s="790">
        <f>C139+C140</f>
        <v>855850338.75999999</v>
      </c>
      <c r="D174" s="790">
        <f>D139+D140</f>
        <v>968918260.06000006</v>
      </c>
      <c r="E174" s="790">
        <f>E139+E140+E90</f>
        <v>0</v>
      </c>
      <c r="F174" s="790">
        <f>F139+F140+F90</f>
        <v>0</v>
      </c>
      <c r="G174" s="790">
        <f>G139+G140+G90</f>
        <v>912384300</v>
      </c>
      <c r="H174" s="787"/>
      <c r="I174" s="790">
        <f t="shared" ref="I174:K174" si="99">I139+I140+I90</f>
        <v>13151571.845000001</v>
      </c>
      <c r="J174" s="790">
        <f t="shared" si="99"/>
        <v>0</v>
      </c>
      <c r="K174" s="790">
        <f t="shared" si="99"/>
        <v>0</v>
      </c>
      <c r="L174" s="787"/>
      <c r="M174" s="790">
        <f>M139+M140+M90</f>
        <v>9858090.540000001</v>
      </c>
      <c r="N174" s="790">
        <f t="shared" ref="N174:Q174" si="100">N139+N140+N90</f>
        <v>845992248.53999996</v>
      </c>
      <c r="O174" s="790">
        <f t="shared" si="100"/>
        <v>0</v>
      </c>
      <c r="P174" s="790">
        <f t="shared" si="100"/>
        <v>0</v>
      </c>
      <c r="Q174" s="790">
        <f t="shared" si="100"/>
        <v>0</v>
      </c>
      <c r="R174" s="787"/>
      <c r="S174" s="790">
        <f>S139+S140+S90</f>
        <v>16445053.15</v>
      </c>
      <c r="T174" s="790">
        <f t="shared" ref="T174:W174" si="101">T139+T140+T90</f>
        <v>952473207.23000002</v>
      </c>
      <c r="U174" s="790">
        <f t="shared" si="101"/>
        <v>0</v>
      </c>
      <c r="V174" s="790">
        <f t="shared" si="101"/>
        <v>0</v>
      </c>
      <c r="W174" s="790">
        <f t="shared" si="101"/>
        <v>0</v>
      </c>
    </row>
    <row r="175" spans="1:23">
      <c r="A175" s="794"/>
      <c r="B175" s="781"/>
      <c r="C175" s="787"/>
      <c r="D175" s="787"/>
      <c r="E175" s="787"/>
      <c r="F175" s="787"/>
      <c r="G175" s="787"/>
      <c r="H175" s="787"/>
      <c r="I175" s="787"/>
      <c r="J175" s="787"/>
      <c r="K175" s="787"/>
      <c r="L175" s="787"/>
      <c r="M175" s="787"/>
      <c r="N175" s="787"/>
      <c r="O175" s="787"/>
      <c r="P175" s="787"/>
      <c r="Q175" s="787"/>
      <c r="R175" s="787"/>
      <c r="S175" s="787"/>
      <c r="T175" s="787"/>
      <c r="U175" s="787"/>
      <c r="V175" s="787"/>
      <c r="W175" s="787"/>
    </row>
    <row r="176" spans="1:23">
      <c r="A176" s="794">
        <f>+A174+1</f>
        <v>16</v>
      </c>
      <c r="B176" t="s">
        <v>726</v>
      </c>
      <c r="C176" s="787"/>
      <c r="D176" s="787"/>
      <c r="E176" s="787"/>
      <c r="F176" s="787"/>
      <c r="G176" s="787"/>
      <c r="H176" s="787"/>
      <c r="I176" s="787"/>
      <c r="J176" s="787"/>
      <c r="K176" s="787"/>
      <c r="L176" s="787"/>
      <c r="M176" s="787"/>
      <c r="N176" s="787"/>
      <c r="O176" s="787"/>
      <c r="P176" s="787"/>
      <c r="Q176" s="787"/>
      <c r="R176" s="787"/>
      <c r="S176" s="787"/>
      <c r="T176" s="787"/>
      <c r="U176" s="787"/>
      <c r="V176" s="787"/>
      <c r="W176" s="787"/>
    </row>
    <row r="177" spans="1:23">
      <c r="A177" s="794"/>
      <c r="B177" s="781"/>
      <c r="C177" s="787"/>
      <c r="D177" s="787"/>
      <c r="E177" s="787"/>
      <c r="F177" s="787"/>
      <c r="G177" s="787"/>
      <c r="H177" s="787"/>
      <c r="I177" s="787"/>
      <c r="J177" s="787"/>
      <c r="K177" s="787"/>
      <c r="L177" s="787"/>
      <c r="M177" s="787"/>
      <c r="N177" s="787"/>
      <c r="O177" s="787"/>
      <c r="P177" s="787"/>
      <c r="Q177" s="787"/>
      <c r="R177" s="787"/>
      <c r="S177" s="787"/>
      <c r="T177" s="787"/>
      <c r="U177" s="787"/>
      <c r="V177" s="787"/>
      <c r="W177" s="787"/>
    </row>
    <row r="178" spans="1:23">
      <c r="A178" s="794">
        <f>+A176+1</f>
        <v>17</v>
      </c>
      <c r="B178" t="s">
        <v>727</v>
      </c>
      <c r="C178" s="787"/>
      <c r="D178" s="787"/>
      <c r="E178" s="787"/>
      <c r="F178" s="787"/>
      <c r="G178" s="787"/>
      <c r="H178" s="787"/>
      <c r="I178" s="787"/>
      <c r="J178" s="787"/>
      <c r="K178" s="787"/>
      <c r="L178" s="787"/>
      <c r="M178" s="787"/>
      <c r="N178" s="787"/>
      <c r="O178" s="787"/>
      <c r="P178" s="787"/>
      <c r="Q178" s="787"/>
      <c r="R178" s="787"/>
      <c r="S178" s="787"/>
      <c r="T178" s="787"/>
      <c r="U178" s="787"/>
      <c r="V178" s="787"/>
      <c r="W178" s="787"/>
    </row>
    <row r="179" spans="1:23">
      <c r="A179" s="794"/>
      <c r="B179" s="781"/>
      <c r="C179" s="787"/>
      <c r="D179" s="792"/>
      <c r="E179" s="792"/>
      <c r="F179" s="792"/>
      <c r="G179" s="792"/>
      <c r="H179" s="792"/>
      <c r="I179" s="792"/>
      <c r="J179" s="792"/>
      <c r="K179" s="792"/>
      <c r="L179" s="792"/>
      <c r="M179" s="787"/>
      <c r="N179" s="787"/>
      <c r="O179" s="787"/>
      <c r="P179" s="787"/>
      <c r="Q179" s="787"/>
      <c r="R179" s="787"/>
      <c r="S179" s="787"/>
      <c r="T179" s="787"/>
      <c r="U179" s="787"/>
      <c r="V179" s="787"/>
      <c r="W179" s="787"/>
    </row>
    <row r="180" spans="1:23">
      <c r="A180" s="794">
        <f>+A178+1</f>
        <v>18</v>
      </c>
      <c r="B180" t="s">
        <v>728</v>
      </c>
      <c r="C180" s="787"/>
      <c r="D180" s="792"/>
      <c r="E180" s="792"/>
      <c r="F180" s="792"/>
      <c r="G180" s="792"/>
      <c r="H180" s="792"/>
      <c r="I180" s="792"/>
      <c r="J180" s="792"/>
      <c r="K180" s="792"/>
      <c r="L180" s="792"/>
      <c r="M180" s="787"/>
      <c r="N180" s="787"/>
      <c r="O180" s="787"/>
      <c r="P180" s="787"/>
      <c r="Q180" s="787"/>
      <c r="R180" s="787"/>
      <c r="S180" s="787"/>
      <c r="T180" s="787"/>
      <c r="U180" s="787"/>
      <c r="V180" s="787"/>
      <c r="W180" s="787"/>
    </row>
    <row r="181" spans="1:23">
      <c r="A181" s="794"/>
      <c r="B181" s="781"/>
      <c r="C181" s="787"/>
      <c r="D181" s="787"/>
      <c r="E181" s="787"/>
      <c r="F181" s="787"/>
      <c r="G181" s="787"/>
      <c r="H181" s="787"/>
      <c r="I181" s="787"/>
      <c r="J181" s="787"/>
      <c r="K181" s="787"/>
      <c r="L181" s="787"/>
      <c r="M181" s="787"/>
      <c r="N181" s="787"/>
      <c r="O181" s="787"/>
      <c r="P181" s="787"/>
      <c r="Q181" s="787"/>
      <c r="R181" s="787"/>
      <c r="S181" s="787"/>
      <c r="T181" s="787"/>
      <c r="U181" s="787"/>
      <c r="V181" s="787"/>
      <c r="W181" s="787"/>
    </row>
    <row r="182" spans="1:23">
      <c r="A182" s="794">
        <f>+A180+1</f>
        <v>19</v>
      </c>
      <c r="B182" t="s">
        <v>729</v>
      </c>
      <c r="C182" s="787"/>
      <c r="D182" s="787"/>
      <c r="E182" s="787"/>
      <c r="F182" s="787"/>
      <c r="G182" s="787"/>
      <c r="H182" s="787"/>
      <c r="I182" s="787"/>
      <c r="J182" s="787"/>
      <c r="K182" s="787"/>
      <c r="L182" s="787"/>
      <c r="M182" s="787"/>
      <c r="N182" s="787"/>
      <c r="O182" s="787"/>
      <c r="P182" s="787"/>
      <c r="Q182" s="787"/>
      <c r="R182" s="787"/>
      <c r="S182" s="787"/>
      <c r="T182" s="787"/>
      <c r="U182" s="787"/>
      <c r="V182" s="787"/>
      <c r="W182" s="787"/>
    </row>
    <row r="183" spans="1:23">
      <c r="A183" s="794">
        <f>A182+1</f>
        <v>20</v>
      </c>
      <c r="B183" t="s">
        <v>730</v>
      </c>
      <c r="C183" s="787"/>
      <c r="D183" s="787"/>
      <c r="E183" s="787"/>
      <c r="F183" s="787"/>
      <c r="G183" s="787"/>
      <c r="H183" s="787"/>
      <c r="I183" s="787"/>
      <c r="J183" s="787"/>
      <c r="K183" s="787"/>
      <c r="L183" s="787"/>
      <c r="M183" s="787"/>
      <c r="N183" s="787"/>
      <c r="O183" s="787"/>
      <c r="P183" s="787"/>
      <c r="Q183" s="787"/>
      <c r="R183" s="787"/>
      <c r="S183" s="787"/>
      <c r="T183" s="787"/>
      <c r="U183" s="787"/>
      <c r="V183" s="787"/>
      <c r="W183" s="787"/>
    </row>
    <row r="184" spans="1:23">
      <c r="A184" s="804">
        <v>18.010000000000002</v>
      </c>
      <c r="B184" s="624" t="s">
        <v>1357</v>
      </c>
      <c r="C184" s="787">
        <f t="shared" ref="C184:C186" si="102">SUM(M184:P184)</f>
        <v>846563.04</v>
      </c>
      <c r="D184" s="787">
        <f t="shared" ref="D184:D186" si="103">SUM(S184:V184)</f>
        <v>445894</v>
      </c>
      <c r="E184" s="787"/>
      <c r="F184" s="787"/>
      <c r="G184" s="787">
        <f>ROUND(SUM(C184:F184)/2,0)</f>
        <v>646229</v>
      </c>
      <c r="H184" s="787"/>
      <c r="I184" s="787">
        <f t="shared" ref="I184:I186" si="104">(M184+S184)/2</f>
        <v>4.5199999999999996</v>
      </c>
      <c r="J184" s="787">
        <f t="shared" ref="J184:J186" si="105">(O184+U184)/2</f>
        <v>510393.5</v>
      </c>
      <c r="K184" s="787">
        <f t="shared" ref="K184:K186" si="106">(P184+V184)/2</f>
        <v>2289.5</v>
      </c>
      <c r="L184" s="787"/>
      <c r="M184" s="624">
        <v>9.0399999999999991</v>
      </c>
      <c r="N184" s="624">
        <v>200040</v>
      </c>
      <c r="O184" s="624">
        <v>641843</v>
      </c>
      <c r="P184" s="624">
        <v>4671</v>
      </c>
      <c r="Q184" s="624">
        <v>0</v>
      </c>
      <c r="R184" s="787"/>
      <c r="S184" s="624"/>
      <c r="T184" s="624">
        <v>67042</v>
      </c>
      <c r="U184" s="624">
        <v>378944</v>
      </c>
      <c r="V184" s="624">
        <v>-92</v>
      </c>
      <c r="W184" s="624"/>
    </row>
    <row r="185" spans="1:23">
      <c r="A185" s="804">
        <f>A184+0.01</f>
        <v>18.020000000000003</v>
      </c>
      <c r="B185" s="624" t="s">
        <v>1358</v>
      </c>
      <c r="C185" s="787">
        <f t="shared" si="102"/>
        <v>12946213.66</v>
      </c>
      <c r="D185" s="787">
        <f t="shared" si="103"/>
        <v>12196246.66</v>
      </c>
      <c r="E185" s="787"/>
      <c r="F185" s="787"/>
      <c r="G185" s="787">
        <f>ROUND(SUM(C185:F185)/2,0)</f>
        <v>12571230</v>
      </c>
      <c r="H185" s="787"/>
      <c r="I185" s="787">
        <f t="shared" si="104"/>
        <v>12571230.16</v>
      </c>
      <c r="J185" s="787">
        <f t="shared" si="105"/>
        <v>0</v>
      </c>
      <c r="K185" s="787">
        <f t="shared" si="106"/>
        <v>0</v>
      </c>
      <c r="L185" s="787"/>
      <c r="M185" s="624">
        <v>12946213.66</v>
      </c>
      <c r="N185" s="624"/>
      <c r="O185" s="624"/>
      <c r="P185" s="624">
        <v>0</v>
      </c>
      <c r="Q185" s="624">
        <v>0</v>
      </c>
      <c r="R185" s="787"/>
      <c r="S185" s="624">
        <v>12196246.66</v>
      </c>
      <c r="T185" s="624"/>
      <c r="U185" s="624"/>
      <c r="V185" s="624"/>
      <c r="W185" s="624"/>
    </row>
    <row r="186" spans="1:23">
      <c r="A186" s="804">
        <f>A185+0.01</f>
        <v>18.030000000000005</v>
      </c>
      <c r="B186" s="624" t="s">
        <v>1359</v>
      </c>
      <c r="C186" s="787">
        <f t="shared" si="102"/>
        <v>44708</v>
      </c>
      <c r="D186" s="787">
        <f t="shared" si="103"/>
        <v>0</v>
      </c>
      <c r="E186" s="787"/>
      <c r="F186" s="787"/>
      <c r="G186" s="787">
        <f>ROUND(SUM(C186:F186)/2,0)</f>
        <v>22354</v>
      </c>
      <c r="H186" s="787"/>
      <c r="I186" s="787">
        <f t="shared" si="104"/>
        <v>0</v>
      </c>
      <c r="J186" s="787">
        <f t="shared" si="105"/>
        <v>0</v>
      </c>
      <c r="K186" s="787">
        <f t="shared" si="106"/>
        <v>0</v>
      </c>
      <c r="L186" s="787"/>
      <c r="M186" s="624"/>
      <c r="N186" s="624">
        <v>44708</v>
      </c>
      <c r="O186" s="624"/>
      <c r="P186" s="624">
        <v>0</v>
      </c>
      <c r="Q186" s="624">
        <v>0</v>
      </c>
      <c r="R186" s="787"/>
      <c r="S186" s="624"/>
      <c r="T186" s="624"/>
      <c r="U186" s="624"/>
      <c r="V186" s="624"/>
      <c r="W186" s="624"/>
    </row>
    <row r="187" spans="1:23">
      <c r="A187" s="804"/>
      <c r="B187" s="624"/>
      <c r="C187" s="787"/>
      <c r="D187" s="787"/>
      <c r="E187" s="787"/>
      <c r="F187" s="787"/>
      <c r="G187" s="787"/>
      <c r="H187" s="787"/>
      <c r="I187" s="787"/>
      <c r="J187" s="787"/>
      <c r="K187" s="787"/>
      <c r="L187" s="787"/>
      <c r="M187" s="624"/>
      <c r="N187" s="624"/>
      <c r="O187" s="624"/>
      <c r="P187" s="624"/>
      <c r="Q187" s="624"/>
      <c r="R187" s="787"/>
      <c r="S187" s="624"/>
      <c r="T187" s="624"/>
      <c r="U187" s="624"/>
      <c r="V187" s="624"/>
      <c r="W187" s="624"/>
    </row>
    <row r="188" spans="1:23">
      <c r="A188" s="794">
        <f>INT(A186)+1</f>
        <v>19</v>
      </c>
      <c r="C188" s="787"/>
      <c r="D188" s="787"/>
      <c r="E188" s="787"/>
      <c r="F188" s="787"/>
      <c r="G188" s="787"/>
      <c r="H188" s="787"/>
      <c r="I188" s="787"/>
      <c r="J188" s="787"/>
      <c r="K188" s="787"/>
      <c r="L188" s="787"/>
      <c r="M188" s="787"/>
      <c r="N188" s="787"/>
      <c r="O188" s="787"/>
      <c r="P188" s="787"/>
      <c r="Q188" s="787"/>
      <c r="R188" s="787"/>
      <c r="S188" s="787"/>
      <c r="T188" s="787"/>
      <c r="U188" s="787"/>
      <c r="V188" s="787"/>
      <c r="W188" s="787"/>
    </row>
    <row r="189" spans="1:23">
      <c r="A189" s="794">
        <f>A188+1</f>
        <v>20</v>
      </c>
      <c r="B189" t="s">
        <v>731</v>
      </c>
      <c r="C189" s="789">
        <f>SUM(C184:C188)</f>
        <v>13837484.699999999</v>
      </c>
      <c r="D189" s="789">
        <f>SUM(D184:D188)</f>
        <v>12642140.66</v>
      </c>
      <c r="E189" s="789">
        <f>SUM(E184:E188)</f>
        <v>0</v>
      </c>
      <c r="F189" s="789">
        <f>SUM(F184:F188)</f>
        <v>0</v>
      </c>
      <c r="G189" s="789">
        <f>SUM(G184:G188)</f>
        <v>13239813</v>
      </c>
      <c r="H189" s="787"/>
      <c r="I189" s="789">
        <f>SUM(I184:I188)</f>
        <v>12571234.68</v>
      </c>
      <c r="J189" s="789">
        <f>SUM(J184:J188)</f>
        <v>510393.5</v>
      </c>
      <c r="K189" s="789">
        <f>SUM(K184:K188)</f>
        <v>2289.5</v>
      </c>
      <c r="L189" s="787"/>
      <c r="M189" s="789">
        <f>SUM(M184:M188)</f>
        <v>12946222.699999999</v>
      </c>
      <c r="N189" s="789">
        <f>SUM(N184:N188)</f>
        <v>244748</v>
      </c>
      <c r="O189" s="789">
        <f>SUM(O184:O188)</f>
        <v>641843</v>
      </c>
      <c r="P189" s="789">
        <f>SUM(P184:P188)</f>
        <v>4671</v>
      </c>
      <c r="Q189" s="789">
        <f>SUM(Q184:Q188)</f>
        <v>0</v>
      </c>
      <c r="R189" s="787"/>
      <c r="S189" s="789">
        <f>SUM(S184:S188)</f>
        <v>12196246.66</v>
      </c>
      <c r="T189" s="789">
        <f>SUM(T184:T188)</f>
        <v>67042</v>
      </c>
      <c r="U189" s="789">
        <f>SUM(U184:U188)</f>
        <v>378944</v>
      </c>
      <c r="V189" s="789">
        <f>SUM(V184:V188)</f>
        <v>-92</v>
      </c>
      <c r="W189" s="789">
        <f>SUM(W184:W188)</f>
        <v>0</v>
      </c>
    </row>
  </sheetData>
  <pageMargins left="0.7" right="0.7" top="0.75" bottom="0.75" header="0.3" footer="0.3"/>
  <pageSetup scale="28" orientation="landscape" r:id="rId1"/>
  <rowBreaks count="2" manualBreakCount="2">
    <brk id="66" max="16383" man="1"/>
    <brk id="16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JB115"/>
  <sheetViews>
    <sheetView tabSelected="1" view="pageBreakPreview" topLeftCell="A79" zoomScale="85" zoomScaleNormal="100" zoomScaleSheetLayoutView="85" workbookViewId="0">
      <selection activeCell="D9" sqref="D9"/>
    </sheetView>
  </sheetViews>
  <sheetFormatPr defaultRowHeight="12.75"/>
  <cols>
    <col min="1" max="1" width="7" bestFit="1" customWidth="1"/>
    <col min="2" max="2" width="54.5703125" bestFit="1" customWidth="1"/>
    <col min="3" max="3" width="13.42578125" bestFit="1" customWidth="1"/>
    <col min="4" max="4" width="19.28515625" bestFit="1" customWidth="1"/>
    <col min="5" max="5" width="19" bestFit="1" customWidth="1"/>
    <col min="6" max="6" width="17" customWidth="1"/>
    <col min="7" max="7" width="15.42578125" bestFit="1" customWidth="1"/>
    <col min="8" max="8" width="3" customWidth="1"/>
    <col min="9" max="9" width="13.140625" bestFit="1" customWidth="1"/>
    <col min="10" max="10" width="13.140625" customWidth="1"/>
    <col min="11" max="11" width="15" bestFit="1" customWidth="1"/>
    <col min="12" max="12" width="13.5703125" bestFit="1" customWidth="1"/>
    <col min="13" max="13" width="13.5703125" customWidth="1"/>
    <col min="14" max="14" width="3.42578125" customWidth="1"/>
    <col min="15" max="15" width="13.140625" bestFit="1" customWidth="1"/>
    <col min="16" max="16" width="13.140625" customWidth="1"/>
    <col min="17" max="17" width="15" bestFit="1" customWidth="1"/>
    <col min="18" max="18" width="13.5703125" bestFit="1" customWidth="1"/>
    <col min="19" max="19" width="13.5703125" customWidth="1"/>
    <col min="20" max="20" width="3.42578125" customWidth="1"/>
    <col min="21" max="21" width="13.140625" bestFit="1" customWidth="1"/>
    <col min="22" max="22" width="13.140625" customWidth="1"/>
    <col min="23" max="23" width="15" bestFit="1" customWidth="1"/>
    <col min="24" max="24" width="13.5703125" bestFit="1" customWidth="1"/>
    <col min="25" max="25" width="13.5703125" customWidth="1"/>
  </cols>
  <sheetData>
    <row r="1" spans="1:25">
      <c r="A1" s="795"/>
      <c r="B1" s="832" t="str">
        <f>TCOS!F9</f>
        <v xml:space="preserve">Indiana Michigan Power Company </v>
      </c>
      <c r="C1" s="781"/>
      <c r="D1" s="781"/>
      <c r="E1" s="781"/>
      <c r="F1" s="781"/>
      <c r="O1" s="781"/>
      <c r="P1" s="781"/>
      <c r="Q1" s="781"/>
      <c r="T1" s="781"/>
      <c r="U1" s="781"/>
      <c r="V1" s="781"/>
      <c r="W1" s="781"/>
    </row>
    <row r="2" spans="1:25">
      <c r="A2" s="795"/>
      <c r="B2" s="175" t="s">
        <v>813</v>
      </c>
      <c r="C2" s="781"/>
      <c r="D2" s="781"/>
      <c r="E2" s="781"/>
      <c r="F2" s="781"/>
      <c r="O2" s="781"/>
      <c r="P2" s="781"/>
      <c r="Q2" s="781"/>
      <c r="T2" s="781"/>
      <c r="U2" s="781"/>
      <c r="V2" s="781"/>
      <c r="W2" s="781"/>
    </row>
    <row r="3" spans="1:25">
      <c r="A3" s="795"/>
      <c r="B3" s="175" t="str">
        <f>"PERIOD ENDED DECEMBER 31, "&amp;TCOS!L4</f>
        <v>PERIOD ENDED DECEMBER 31, 2025</v>
      </c>
      <c r="C3" s="781"/>
      <c r="D3" s="781"/>
      <c r="E3" s="781"/>
      <c r="F3" s="781"/>
      <c r="G3" s="781"/>
      <c r="H3" s="781"/>
      <c r="I3" s="781"/>
      <c r="J3" s="781"/>
      <c r="K3" s="781"/>
      <c r="L3" s="781"/>
      <c r="M3" s="781"/>
      <c r="N3" s="781"/>
      <c r="O3" s="781"/>
      <c r="P3" s="781"/>
      <c r="Q3" s="781"/>
      <c r="R3" s="781"/>
      <c r="S3" s="781"/>
      <c r="T3" s="781"/>
      <c r="U3" s="781"/>
      <c r="V3" s="781"/>
      <c r="W3" s="781"/>
      <c r="X3" s="781"/>
      <c r="Y3" s="781"/>
    </row>
    <row r="4" spans="1:25">
      <c r="A4" s="795"/>
      <c r="B4" s="786"/>
      <c r="C4" s="781"/>
      <c r="D4" s="781"/>
      <c r="E4" s="781"/>
      <c r="F4" s="781"/>
      <c r="G4" s="1" t="s">
        <v>732</v>
      </c>
      <c r="H4" s="781"/>
      <c r="I4" s="781"/>
      <c r="J4" s="781"/>
      <c r="K4" s="781"/>
      <c r="L4" s="781"/>
      <c r="M4" s="781"/>
      <c r="N4" s="781"/>
      <c r="O4" s="781"/>
      <c r="P4" s="781"/>
      <c r="Q4" s="781"/>
      <c r="R4" s="781"/>
      <c r="S4" s="781"/>
      <c r="T4" s="781"/>
      <c r="U4" s="781"/>
      <c r="V4" s="781"/>
      <c r="W4" s="781"/>
      <c r="X4" s="781"/>
      <c r="Y4" s="781"/>
    </row>
    <row r="5" spans="1:25">
      <c r="A5" s="795"/>
      <c r="B5" s="781"/>
      <c r="C5" s="781"/>
      <c r="D5" s="781"/>
      <c r="E5" s="781"/>
      <c r="F5" s="781"/>
      <c r="G5" s="781"/>
      <c r="H5" s="781"/>
      <c r="I5" s="781"/>
      <c r="J5" s="781"/>
      <c r="K5" s="781"/>
      <c r="L5" s="781"/>
      <c r="M5" s="781"/>
      <c r="N5" s="781"/>
      <c r="O5" s="781"/>
      <c r="P5" s="781"/>
      <c r="Q5" s="781"/>
      <c r="R5" s="781"/>
      <c r="S5" s="781"/>
      <c r="T5" s="781"/>
      <c r="U5" s="781"/>
      <c r="V5" s="781"/>
      <c r="W5" s="781"/>
      <c r="X5" s="781"/>
      <c r="Y5" s="781"/>
    </row>
    <row r="6" spans="1:25">
      <c r="A6" s="795"/>
      <c r="B6" s="781"/>
      <c r="C6" s="781"/>
      <c r="D6" s="781"/>
      <c r="E6" s="781"/>
      <c r="F6" s="781"/>
      <c r="G6" s="781"/>
      <c r="H6" s="1"/>
      <c r="I6" s="1"/>
      <c r="J6" s="1"/>
      <c r="K6" s="1"/>
      <c r="L6" s="1"/>
      <c r="M6" s="1"/>
      <c r="N6" s="1"/>
      <c r="O6" s="781"/>
      <c r="P6" s="781"/>
      <c r="Q6" s="781"/>
      <c r="R6" s="781"/>
      <c r="S6" s="781"/>
      <c r="T6" s="781"/>
      <c r="U6" s="781"/>
      <c r="V6" s="781"/>
      <c r="W6" s="781"/>
      <c r="X6" s="781"/>
      <c r="Y6" s="781"/>
    </row>
    <row r="7" spans="1:25">
      <c r="A7" s="795"/>
      <c r="B7" s="781"/>
      <c r="C7" s="781"/>
      <c r="D7" s="781"/>
      <c r="E7" s="781"/>
      <c r="F7" s="781"/>
      <c r="G7" s="781"/>
      <c r="H7" s="781"/>
      <c r="I7" s="781"/>
      <c r="J7" s="781"/>
      <c r="K7" s="781"/>
      <c r="L7" s="781"/>
      <c r="M7" s="781"/>
      <c r="N7" s="781"/>
      <c r="O7" s="781"/>
      <c r="P7" s="781"/>
      <c r="Q7" s="781"/>
      <c r="R7" s="781"/>
      <c r="S7" s="781"/>
      <c r="T7" s="781"/>
      <c r="U7" s="781"/>
      <c r="V7" s="781"/>
      <c r="W7" s="781"/>
      <c r="X7" s="781"/>
      <c r="Y7" s="781"/>
    </row>
    <row r="8" spans="1:25">
      <c r="A8" s="795"/>
      <c r="B8" s="782" t="s">
        <v>692</v>
      </c>
      <c r="C8" s="782" t="s">
        <v>693</v>
      </c>
      <c r="D8" s="782" t="s">
        <v>694</v>
      </c>
      <c r="E8" s="782" t="s">
        <v>695</v>
      </c>
      <c r="F8" s="782" t="s">
        <v>696</v>
      </c>
      <c r="G8" s="782" t="s">
        <v>697</v>
      </c>
      <c r="H8" s="782"/>
      <c r="I8" s="782" t="s">
        <v>698</v>
      </c>
      <c r="J8" s="782" t="s">
        <v>699</v>
      </c>
      <c r="K8" s="782" t="s">
        <v>700</v>
      </c>
      <c r="L8" s="782" t="s">
        <v>701</v>
      </c>
      <c r="M8" s="782" t="s">
        <v>702</v>
      </c>
      <c r="N8" s="782"/>
      <c r="O8" s="782" t="s">
        <v>703</v>
      </c>
      <c r="P8" s="782" t="s">
        <v>704</v>
      </c>
      <c r="Q8" s="782" t="s">
        <v>705</v>
      </c>
      <c r="R8" s="782" t="s">
        <v>706</v>
      </c>
      <c r="S8" s="782" t="s">
        <v>976</v>
      </c>
      <c r="T8" s="781"/>
      <c r="U8" s="782" t="s">
        <v>977</v>
      </c>
      <c r="V8" s="782" t="s">
        <v>978</v>
      </c>
      <c r="W8" s="782" t="s">
        <v>979</v>
      </c>
      <c r="X8" s="782" t="s">
        <v>980</v>
      </c>
      <c r="Y8" s="782" t="s">
        <v>981</v>
      </c>
    </row>
    <row r="9" spans="1:25">
      <c r="A9" s="795"/>
      <c r="B9" s="781"/>
      <c r="C9" s="781"/>
      <c r="D9" s="781"/>
      <c r="E9" s="781"/>
      <c r="F9" s="781"/>
      <c r="G9" s="781"/>
      <c r="H9" s="781"/>
      <c r="I9" s="781"/>
      <c r="J9" s="781"/>
      <c r="K9" s="781"/>
      <c r="L9" s="781"/>
      <c r="M9" s="781"/>
      <c r="N9" s="781"/>
      <c r="O9" s="781"/>
      <c r="P9" s="781"/>
      <c r="Q9" s="781"/>
      <c r="R9" s="781"/>
      <c r="S9" s="781"/>
      <c r="T9" s="781"/>
      <c r="U9" s="781"/>
      <c r="V9" s="781"/>
      <c r="W9" s="781"/>
      <c r="X9" s="781"/>
      <c r="Y9" s="781"/>
    </row>
    <row r="10" spans="1:25">
      <c r="A10" s="795"/>
      <c r="B10" s="781"/>
      <c r="C10" s="783" t="s">
        <v>707</v>
      </c>
      <c r="D10" s="783"/>
      <c r="E10" s="784" t="s">
        <v>708</v>
      </c>
      <c r="F10" s="783"/>
      <c r="G10" s="1" t="s">
        <v>709</v>
      </c>
      <c r="H10" s="1"/>
      <c r="I10" s="1241" t="s">
        <v>710</v>
      </c>
      <c r="J10" s="1241"/>
      <c r="K10" s="1241"/>
      <c r="L10" s="1241"/>
      <c r="M10" s="1241"/>
      <c r="N10" s="1"/>
      <c r="O10" s="1242" t="str">
        <f>"FUNCTIONALIZATION 12/31/"&amp;TCOS!L4-1</f>
        <v>FUNCTIONALIZATION 12/31/2024</v>
      </c>
      <c r="P10" s="1242"/>
      <c r="Q10" s="1242"/>
      <c r="R10" s="1242"/>
      <c r="S10" s="1242"/>
      <c r="T10" s="781"/>
      <c r="U10" s="1242" t="str">
        <f>"FUNCTIONALIZATION 12/31/"&amp;TCOS!L4</f>
        <v>FUNCTIONALIZATION 12/31/2025</v>
      </c>
      <c r="V10" s="1242"/>
      <c r="W10" s="1242"/>
      <c r="X10" s="1242"/>
      <c r="Y10" s="1242"/>
    </row>
    <row r="11" spans="1:25">
      <c r="A11" s="795"/>
      <c r="B11" s="781"/>
      <c r="C11" s="785"/>
      <c r="D11" s="785"/>
      <c r="E11" s="781"/>
      <c r="F11" s="781"/>
      <c r="G11" s="1" t="s">
        <v>711</v>
      </c>
      <c r="H11" s="1"/>
      <c r="I11" s="781"/>
      <c r="J11" s="781"/>
      <c r="K11" s="781"/>
      <c r="L11" s="781"/>
      <c r="M11" s="781"/>
      <c r="N11" s="1"/>
      <c r="O11" s="781"/>
      <c r="P11" s="781"/>
      <c r="Q11" s="781"/>
      <c r="R11" s="781"/>
      <c r="S11" s="781"/>
      <c r="T11" s="781"/>
      <c r="U11" s="781"/>
      <c r="V11" s="781"/>
      <c r="W11" s="781"/>
      <c r="X11" s="781"/>
      <c r="Y11" s="781"/>
    </row>
    <row r="12" spans="1:25">
      <c r="A12" s="795"/>
      <c r="B12" s="781"/>
      <c r="C12" s="1" t="s">
        <v>712</v>
      </c>
      <c r="D12" s="1" t="s">
        <v>712</v>
      </c>
      <c r="E12" s="1" t="s">
        <v>712</v>
      </c>
      <c r="F12" s="1" t="s">
        <v>712</v>
      </c>
      <c r="G12" s="1" t="s">
        <v>713</v>
      </c>
      <c r="H12" s="1"/>
      <c r="I12" s="781"/>
      <c r="J12" s="781"/>
      <c r="K12" s="781"/>
      <c r="L12" s="781"/>
      <c r="M12" s="781"/>
      <c r="N12" s="1"/>
      <c r="O12" s="781"/>
      <c r="P12" s="781"/>
      <c r="Q12" s="781"/>
      <c r="R12" s="781"/>
      <c r="S12" s="781"/>
      <c r="T12" s="781"/>
      <c r="U12" s="781"/>
      <c r="V12" s="781"/>
      <c r="W12" s="781"/>
      <c r="X12" s="781"/>
      <c r="Y12" s="781"/>
    </row>
    <row r="13" spans="1:25">
      <c r="A13" s="795"/>
      <c r="B13" s="782" t="s">
        <v>714</v>
      </c>
      <c r="C13" s="782" t="str">
        <f>"OF 12-31-"&amp;TCOS!L4-1</f>
        <v>OF 12-31-2024</v>
      </c>
      <c r="D13" s="782" t="str">
        <f>"OF 12-31-"&amp;TCOS!L4</f>
        <v>OF 12-31-2025</v>
      </c>
      <c r="E13" s="782" t="str">
        <f>"OF 12-31-"&amp;TCOS!L4-1</f>
        <v>OF 12-31-2024</v>
      </c>
      <c r="F13" s="782" t="str">
        <f>"OF 12-31-"&amp;TCOS!L4</f>
        <v>OF 12-31-2025</v>
      </c>
      <c r="G13" s="782" t="s">
        <v>715</v>
      </c>
      <c r="H13" s="782"/>
      <c r="I13" s="782" t="s">
        <v>716</v>
      </c>
      <c r="J13" s="782" t="s">
        <v>963</v>
      </c>
      <c r="K13" s="782" t="s">
        <v>717</v>
      </c>
      <c r="L13" s="782" t="s">
        <v>718</v>
      </c>
      <c r="M13" s="782" t="s">
        <v>964</v>
      </c>
      <c r="N13" s="782"/>
      <c r="O13" s="782" t="s">
        <v>716</v>
      </c>
      <c r="P13" s="782" t="s">
        <v>963</v>
      </c>
      <c r="Q13" s="782" t="s">
        <v>717</v>
      </c>
      <c r="R13" s="782" t="s">
        <v>718</v>
      </c>
      <c r="S13" s="782" t="s">
        <v>964</v>
      </c>
      <c r="T13" s="781"/>
      <c r="U13" s="782" t="s">
        <v>716</v>
      </c>
      <c r="V13" s="782" t="s">
        <v>963</v>
      </c>
      <c r="W13" s="782" t="s">
        <v>717</v>
      </c>
      <c r="X13" s="782" t="s">
        <v>718</v>
      </c>
      <c r="Y13" s="782" t="s">
        <v>964</v>
      </c>
    </row>
    <row r="14" spans="1:25">
      <c r="A14" s="795"/>
      <c r="B14" s="781"/>
      <c r="C14" s="781"/>
      <c r="D14" s="781"/>
      <c r="E14" s="781"/>
      <c r="F14" s="781"/>
      <c r="G14" s="781"/>
      <c r="H14" s="781"/>
      <c r="I14" s="781"/>
      <c r="J14" s="781"/>
      <c r="K14" s="781"/>
      <c r="L14" s="781"/>
      <c r="M14" s="781"/>
      <c r="N14" s="781"/>
      <c r="O14" s="781"/>
      <c r="P14" s="781"/>
      <c r="Q14" s="781"/>
      <c r="R14" s="781"/>
      <c r="S14" s="781"/>
      <c r="T14" s="781"/>
      <c r="U14" s="781"/>
      <c r="V14" s="781"/>
      <c r="W14" s="781"/>
      <c r="X14" s="781"/>
      <c r="Y14" s="781"/>
    </row>
    <row r="15" spans="1:25">
      <c r="A15" s="140">
        <v>1</v>
      </c>
      <c r="B15" s="787" t="s">
        <v>733</v>
      </c>
      <c r="C15" s="787"/>
      <c r="D15" s="787"/>
      <c r="E15" s="787"/>
      <c r="F15" s="788"/>
      <c r="G15" s="787"/>
      <c r="H15" s="787"/>
      <c r="I15" s="787"/>
      <c r="J15" s="787"/>
      <c r="K15" s="787"/>
      <c r="L15" s="787"/>
      <c r="M15" s="787"/>
      <c r="N15" s="787"/>
      <c r="O15" s="787"/>
      <c r="P15" s="787"/>
      <c r="Q15" s="787"/>
      <c r="R15" s="787"/>
      <c r="S15" s="787"/>
      <c r="T15" s="787"/>
      <c r="U15" s="787"/>
      <c r="V15" s="787"/>
      <c r="W15" s="787"/>
      <c r="X15" s="787"/>
      <c r="Y15" s="787"/>
    </row>
    <row r="16" spans="1:25">
      <c r="A16" s="140"/>
      <c r="B16" s="787"/>
      <c r="C16" s="787"/>
      <c r="D16" s="787"/>
      <c r="E16" s="787"/>
      <c r="F16" s="787"/>
      <c r="G16" s="787"/>
      <c r="H16" s="787"/>
      <c r="I16" s="787"/>
      <c r="J16" s="787"/>
      <c r="K16" s="787"/>
      <c r="L16" s="787"/>
      <c r="M16" s="787"/>
      <c r="N16" s="787"/>
      <c r="O16" s="787"/>
      <c r="P16" s="787"/>
      <c r="Q16" s="787"/>
      <c r="R16" s="787"/>
      <c r="S16" s="787"/>
      <c r="T16" s="787"/>
      <c r="U16" s="787"/>
      <c r="V16" s="787"/>
      <c r="W16" s="787"/>
      <c r="X16" s="787"/>
      <c r="Y16" s="787"/>
    </row>
    <row r="17" spans="1:25">
      <c r="A17" s="804">
        <f>2+0.01</f>
        <v>2.0099999999999998</v>
      </c>
      <c r="B17" s="624" t="s">
        <v>1423</v>
      </c>
      <c r="C17" s="787">
        <f t="shared" ref="C17:C86" si="0">SUM(O17:S17)</f>
        <v>0</v>
      </c>
      <c r="D17" s="787">
        <f t="shared" ref="D17:D86" si="1">SUM(U17:Y17)</f>
        <v>89657984</v>
      </c>
      <c r="E17" s="787"/>
      <c r="F17" s="787"/>
      <c r="G17" s="787">
        <f t="shared" ref="G17:G86" si="2">ROUND(SUM(C17:F17)/2,0)</f>
        <v>44828992</v>
      </c>
      <c r="H17" s="787"/>
      <c r="I17" s="787">
        <f t="shared" ref="I17:I86" si="3">(O17+U17)/2</f>
        <v>1965298.5</v>
      </c>
      <c r="J17" s="787">
        <f t="shared" ref="J17:J86" si="4">(P17+V17)/2</f>
        <v>19503419</v>
      </c>
      <c r="K17" s="787">
        <f t="shared" ref="K17:K86" si="5">(Q17+W17)/2</f>
        <v>10225586</v>
      </c>
      <c r="L17" s="787">
        <f t="shared" ref="L17:L86" si="6">(R17+X17)/2</f>
        <v>13134688.5</v>
      </c>
      <c r="M17" s="787">
        <f t="shared" ref="M17:M86" si="7">(S17+Y17)/2</f>
        <v>0</v>
      </c>
      <c r="N17" s="787"/>
      <c r="O17" s="624"/>
      <c r="P17" s="624"/>
      <c r="Q17" s="624"/>
      <c r="R17" s="624"/>
      <c r="S17" s="624"/>
      <c r="T17" s="787"/>
      <c r="U17" s="624">
        <v>3930597</v>
      </c>
      <c r="V17" s="624">
        <v>39006838</v>
      </c>
      <c r="W17" s="624">
        <v>20451172</v>
      </c>
      <c r="X17" s="624">
        <v>26269377</v>
      </c>
      <c r="Y17" s="624"/>
    </row>
    <row r="18" spans="1:25">
      <c r="A18" s="804">
        <f>A17+0.01</f>
        <v>2.0199999999999996</v>
      </c>
      <c r="B18" s="624" t="s">
        <v>1427</v>
      </c>
      <c r="C18" s="787">
        <f t="shared" si="0"/>
        <v>0</v>
      </c>
      <c r="D18" s="787">
        <f t="shared" si="1"/>
        <v>1462079</v>
      </c>
      <c r="E18" s="787"/>
      <c r="F18" s="787"/>
      <c r="G18" s="787">
        <f t="shared" si="2"/>
        <v>731040</v>
      </c>
      <c r="H18" s="787"/>
      <c r="I18" s="787">
        <f t="shared" si="3"/>
        <v>0</v>
      </c>
      <c r="J18" s="787">
        <f t="shared" si="4"/>
        <v>0</v>
      </c>
      <c r="K18" s="787">
        <f t="shared" si="5"/>
        <v>731039.5</v>
      </c>
      <c r="L18" s="787">
        <f t="shared" si="6"/>
        <v>0</v>
      </c>
      <c r="M18" s="787">
        <f t="shared" si="7"/>
        <v>0</v>
      </c>
      <c r="N18" s="787"/>
      <c r="O18" s="624"/>
      <c r="P18" s="624"/>
      <c r="Q18" s="624"/>
      <c r="R18" s="624"/>
      <c r="S18" s="624"/>
      <c r="T18" s="787"/>
      <c r="U18" s="624"/>
      <c r="V18" s="624"/>
      <c r="W18" s="624">
        <v>1462079</v>
      </c>
      <c r="X18" s="624"/>
      <c r="Y18" s="624"/>
    </row>
    <row r="19" spans="1:25">
      <c r="A19" s="804">
        <f t="shared" ref="A19:A27" si="8">A18+0.01</f>
        <v>2.0299999999999994</v>
      </c>
      <c r="B19" s="624" t="s">
        <v>1187</v>
      </c>
      <c r="C19" s="787">
        <f t="shared" ref="C19" si="9">SUM(O19:S19)</f>
        <v>3521253.64</v>
      </c>
      <c r="D19" s="787">
        <f t="shared" ref="D19" si="10">SUM(U19:Y19)</f>
        <v>-0.49</v>
      </c>
      <c r="E19" s="787"/>
      <c r="F19" s="787"/>
      <c r="G19" s="787">
        <f t="shared" ref="G19" si="11">ROUND(SUM(C19:F19)/2,0)</f>
        <v>1760627</v>
      </c>
      <c r="H19" s="787"/>
      <c r="I19" s="787">
        <f t="shared" ref="I19" si="12">(O19+U19)/2</f>
        <v>1757326.0549999999</v>
      </c>
      <c r="J19" s="787">
        <f t="shared" ref="J19" si="13">(P19+V19)/2</f>
        <v>0</v>
      </c>
      <c r="K19" s="787">
        <f t="shared" ref="K19" si="14">(Q19+W19)/2</f>
        <v>-0.38500000000000001</v>
      </c>
      <c r="L19" s="787">
        <f t="shared" ref="L19" si="15">(R19+X19)/2</f>
        <v>3300.9050000000002</v>
      </c>
      <c r="M19" s="787">
        <f t="shared" ref="M19" si="16">(S19+Y19)/2</f>
        <v>0</v>
      </c>
      <c r="N19" s="787"/>
      <c r="O19" s="624">
        <v>3514652.11</v>
      </c>
      <c r="P19" s="624"/>
      <c r="Q19" s="624">
        <v>-0.28000000000000003</v>
      </c>
      <c r="R19" s="624">
        <v>6601.81</v>
      </c>
      <c r="S19" s="624"/>
      <c r="T19" s="787"/>
      <c r="U19" s="624"/>
      <c r="V19" s="624"/>
      <c r="W19" s="624">
        <v>-0.49</v>
      </c>
      <c r="X19" s="624"/>
      <c r="Y19" s="624"/>
    </row>
    <row r="20" spans="1:25">
      <c r="A20" s="804">
        <f t="shared" si="8"/>
        <v>2.0399999999999991</v>
      </c>
      <c r="B20" s="624" t="s">
        <v>1188</v>
      </c>
      <c r="C20" s="787">
        <f t="shared" si="0"/>
        <v>33986921</v>
      </c>
      <c r="D20" s="787">
        <f t="shared" si="1"/>
        <v>0</v>
      </c>
      <c r="E20" s="787"/>
      <c r="F20" s="787"/>
      <c r="G20" s="787">
        <f t="shared" si="2"/>
        <v>16993461</v>
      </c>
      <c r="H20" s="787"/>
      <c r="I20" s="787">
        <f t="shared" si="3"/>
        <v>0</v>
      </c>
      <c r="J20" s="787">
        <f t="shared" si="4"/>
        <v>16993460.5</v>
      </c>
      <c r="K20" s="787">
        <f t="shared" si="5"/>
        <v>0</v>
      </c>
      <c r="L20" s="787">
        <f t="shared" si="6"/>
        <v>0</v>
      </c>
      <c r="M20" s="787">
        <f t="shared" si="7"/>
        <v>0</v>
      </c>
      <c r="N20" s="787"/>
      <c r="O20" s="624"/>
      <c r="P20" s="624">
        <v>33986921</v>
      </c>
      <c r="Q20" s="624"/>
      <c r="R20" s="624"/>
      <c r="S20" s="624"/>
      <c r="T20" s="787"/>
      <c r="U20" s="624"/>
      <c r="V20" s="624"/>
      <c r="W20" s="624"/>
      <c r="X20" s="624"/>
      <c r="Y20" s="624"/>
    </row>
    <row r="21" spans="1:25">
      <c r="A21" s="804">
        <f t="shared" si="8"/>
        <v>2.0499999999999989</v>
      </c>
      <c r="B21" s="624" t="s">
        <v>1189</v>
      </c>
      <c r="C21" s="787">
        <f t="shared" si="0"/>
        <v>2096007.5700000003</v>
      </c>
      <c r="D21" s="787">
        <f t="shared" si="1"/>
        <v>0</v>
      </c>
      <c r="E21" s="787"/>
      <c r="F21" s="787"/>
      <c r="G21" s="787">
        <f t="shared" si="2"/>
        <v>1048004</v>
      </c>
      <c r="H21" s="787"/>
      <c r="I21" s="787">
        <f t="shared" si="3"/>
        <v>92587.930000000008</v>
      </c>
      <c r="J21" s="787">
        <f t="shared" si="4"/>
        <v>544756.70499999996</v>
      </c>
      <c r="K21" s="787">
        <f t="shared" si="5"/>
        <v>129024.05</v>
      </c>
      <c r="L21" s="787">
        <f t="shared" si="6"/>
        <v>281635.10000000003</v>
      </c>
      <c r="M21" s="787">
        <f t="shared" si="7"/>
        <v>0</v>
      </c>
      <c r="N21" s="787"/>
      <c r="O21" s="624">
        <v>185175.86000000002</v>
      </c>
      <c r="P21" s="624">
        <v>1089513.4099999999</v>
      </c>
      <c r="Q21" s="624">
        <v>258048.1</v>
      </c>
      <c r="R21" s="624">
        <v>563270.20000000007</v>
      </c>
      <c r="S21" s="624"/>
      <c r="T21" s="787"/>
      <c r="U21" s="624"/>
      <c r="V21" s="624"/>
      <c r="W21" s="624"/>
      <c r="X21" s="624"/>
      <c r="Y21" s="624"/>
    </row>
    <row r="22" spans="1:25">
      <c r="A22" s="804">
        <f t="shared" si="8"/>
        <v>2.0599999999999987</v>
      </c>
      <c r="B22" s="624" t="s">
        <v>1190</v>
      </c>
      <c r="C22" s="787">
        <f t="shared" si="0"/>
        <v>0</v>
      </c>
      <c r="D22" s="787">
        <f t="shared" si="1"/>
        <v>0</v>
      </c>
      <c r="E22" s="787"/>
      <c r="F22" s="787"/>
      <c r="G22" s="787">
        <f t="shared" si="2"/>
        <v>0</v>
      </c>
      <c r="H22" s="787"/>
      <c r="I22" s="787">
        <f t="shared" si="3"/>
        <v>0</v>
      </c>
      <c r="J22" s="787">
        <f t="shared" si="4"/>
        <v>0</v>
      </c>
      <c r="K22" s="787">
        <f t="shared" si="5"/>
        <v>0</v>
      </c>
      <c r="L22" s="787">
        <f t="shared" si="6"/>
        <v>0</v>
      </c>
      <c r="M22" s="787">
        <f t="shared" si="7"/>
        <v>0</v>
      </c>
      <c r="N22" s="787"/>
      <c r="O22" s="624">
        <v>0</v>
      </c>
      <c r="P22" s="624">
        <v>0</v>
      </c>
      <c r="Q22" s="624"/>
      <c r="R22" s="624">
        <v>0</v>
      </c>
      <c r="S22" s="624"/>
      <c r="T22" s="787"/>
      <c r="U22" s="624"/>
      <c r="V22" s="624"/>
      <c r="W22" s="624"/>
      <c r="X22" s="624"/>
      <c r="Y22" s="624"/>
    </row>
    <row r="23" spans="1:25">
      <c r="A23" s="804">
        <f t="shared" si="8"/>
        <v>2.0699999999999985</v>
      </c>
      <c r="B23" s="624" t="s">
        <v>1194</v>
      </c>
      <c r="C23" s="787">
        <f t="shared" si="0"/>
        <v>2215022.11</v>
      </c>
      <c r="D23" s="787">
        <f t="shared" si="1"/>
        <v>1953976.3200000001</v>
      </c>
      <c r="E23" s="787"/>
      <c r="F23" s="787"/>
      <c r="G23" s="787">
        <f t="shared" si="2"/>
        <v>2084499</v>
      </c>
      <c r="H23" s="787"/>
      <c r="I23" s="787">
        <f t="shared" si="3"/>
        <v>0</v>
      </c>
      <c r="J23" s="787">
        <f t="shared" si="4"/>
        <v>0</v>
      </c>
      <c r="K23" s="787">
        <f t="shared" si="5"/>
        <v>0</v>
      </c>
      <c r="L23" s="787">
        <f t="shared" si="6"/>
        <v>2084499.2149999999</v>
      </c>
      <c r="M23" s="787">
        <f t="shared" si="7"/>
        <v>0</v>
      </c>
      <c r="N23" s="787"/>
      <c r="O23" s="624"/>
      <c r="P23" s="624"/>
      <c r="Q23" s="624"/>
      <c r="R23" s="624">
        <v>2215022.11</v>
      </c>
      <c r="S23" s="624"/>
      <c r="T23" s="787"/>
      <c r="U23" s="624"/>
      <c r="V23" s="624"/>
      <c r="W23" s="624"/>
      <c r="X23" s="624">
        <v>1953976.3200000001</v>
      </c>
      <c r="Y23" s="624"/>
    </row>
    <row r="24" spans="1:25">
      <c r="A24" s="804">
        <f t="shared" si="8"/>
        <v>2.0799999999999983</v>
      </c>
      <c r="B24" s="624" t="s">
        <v>1195</v>
      </c>
      <c r="C24" s="787">
        <f t="shared" si="0"/>
        <v>0</v>
      </c>
      <c r="D24" s="787">
        <f t="shared" si="1"/>
        <v>0</v>
      </c>
      <c r="E24" s="787"/>
      <c r="F24" s="787"/>
      <c r="G24" s="787">
        <f t="shared" si="2"/>
        <v>0</v>
      </c>
      <c r="H24" s="787"/>
      <c r="I24" s="787">
        <f t="shared" si="3"/>
        <v>0</v>
      </c>
      <c r="J24" s="787">
        <f t="shared" si="4"/>
        <v>0</v>
      </c>
      <c r="K24" s="787">
        <f t="shared" si="5"/>
        <v>0</v>
      </c>
      <c r="L24" s="787">
        <f t="shared" si="6"/>
        <v>0</v>
      </c>
      <c r="M24" s="787">
        <f t="shared" si="7"/>
        <v>0</v>
      </c>
      <c r="N24" s="787"/>
      <c r="O24" s="624"/>
      <c r="P24" s="624"/>
      <c r="Q24" s="624"/>
      <c r="R24" s="624"/>
      <c r="S24" s="624"/>
      <c r="T24" s="787"/>
      <c r="U24" s="624"/>
      <c r="V24" s="624"/>
      <c r="W24" s="624"/>
      <c r="X24" s="624"/>
      <c r="Y24" s="624"/>
    </row>
    <row r="25" spans="1:25">
      <c r="A25" s="804">
        <f t="shared" si="8"/>
        <v>2.0899999999999981</v>
      </c>
      <c r="B25" s="624" t="s">
        <v>1196</v>
      </c>
      <c r="C25" s="787">
        <f t="shared" si="0"/>
        <v>0</v>
      </c>
      <c r="D25" s="787">
        <f t="shared" si="1"/>
        <v>0</v>
      </c>
      <c r="E25" s="787"/>
      <c r="F25" s="787"/>
      <c r="G25" s="787">
        <f t="shared" si="2"/>
        <v>0</v>
      </c>
      <c r="H25" s="787"/>
      <c r="I25" s="787">
        <f t="shared" si="3"/>
        <v>0</v>
      </c>
      <c r="J25" s="787">
        <f t="shared" si="4"/>
        <v>0</v>
      </c>
      <c r="K25" s="787">
        <f t="shared" si="5"/>
        <v>0</v>
      </c>
      <c r="L25" s="787">
        <f t="shared" si="6"/>
        <v>0</v>
      </c>
      <c r="M25" s="787">
        <f t="shared" si="7"/>
        <v>0</v>
      </c>
      <c r="N25" s="787"/>
      <c r="O25" s="624"/>
      <c r="P25" s="624"/>
      <c r="Q25" s="624"/>
      <c r="R25" s="624"/>
      <c r="S25" s="624"/>
      <c r="T25" s="787"/>
      <c r="U25" s="624"/>
      <c r="V25" s="624"/>
      <c r="W25" s="624"/>
      <c r="X25" s="624"/>
      <c r="Y25" s="624"/>
    </row>
    <row r="26" spans="1:25">
      <c r="A26" s="804">
        <f t="shared" si="8"/>
        <v>2.0999999999999979</v>
      </c>
      <c r="B26" s="624" t="s">
        <v>1197</v>
      </c>
      <c r="C26" s="787">
        <f t="shared" si="0"/>
        <v>0</v>
      </c>
      <c r="D26" s="787">
        <f t="shared" si="1"/>
        <v>0</v>
      </c>
      <c r="E26" s="787"/>
      <c r="F26" s="787"/>
      <c r="G26" s="787">
        <f t="shared" si="2"/>
        <v>0</v>
      </c>
      <c r="H26" s="787"/>
      <c r="I26" s="787">
        <f t="shared" si="3"/>
        <v>0</v>
      </c>
      <c r="J26" s="787">
        <f t="shared" si="4"/>
        <v>0</v>
      </c>
      <c r="K26" s="787">
        <f t="shared" si="5"/>
        <v>0</v>
      </c>
      <c r="L26" s="787">
        <f t="shared" si="6"/>
        <v>0</v>
      </c>
      <c r="M26" s="787">
        <f t="shared" si="7"/>
        <v>0</v>
      </c>
      <c r="N26" s="787"/>
      <c r="O26" s="624">
        <v>0</v>
      </c>
      <c r="P26" s="624"/>
      <c r="Q26" s="624"/>
      <c r="R26" s="624"/>
      <c r="S26" s="624"/>
      <c r="T26" s="787"/>
      <c r="U26" s="624"/>
      <c r="V26" s="624"/>
      <c r="W26" s="624"/>
      <c r="X26" s="624"/>
      <c r="Y26" s="624"/>
    </row>
    <row r="27" spans="1:25">
      <c r="A27" s="804">
        <f t="shared" si="8"/>
        <v>2.1099999999999977</v>
      </c>
      <c r="B27" s="624" t="s">
        <v>1198</v>
      </c>
      <c r="C27" s="787">
        <f t="shared" si="0"/>
        <v>-731467.89</v>
      </c>
      <c r="D27" s="787">
        <f t="shared" si="1"/>
        <v>-866341.37</v>
      </c>
      <c r="E27" s="787"/>
      <c r="F27" s="787"/>
      <c r="G27" s="787">
        <f t="shared" si="2"/>
        <v>-798905</v>
      </c>
      <c r="H27" s="787"/>
      <c r="I27" s="787">
        <f t="shared" si="3"/>
        <v>-83638.665000000008</v>
      </c>
      <c r="J27" s="787">
        <f t="shared" si="4"/>
        <v>-413151.82999999996</v>
      </c>
      <c r="K27" s="787">
        <f t="shared" si="5"/>
        <v>-45985.445</v>
      </c>
      <c r="L27" s="787">
        <f t="shared" si="6"/>
        <v>-256128.69</v>
      </c>
      <c r="M27" s="787">
        <f t="shared" si="7"/>
        <v>0</v>
      </c>
      <c r="N27" s="787"/>
      <c r="O27" s="624">
        <v>-86797.96</v>
      </c>
      <c r="P27" s="624">
        <v>-339554.99</v>
      </c>
      <c r="Q27" s="624">
        <v>-46236.04</v>
      </c>
      <c r="R27" s="624">
        <v>-258878.9</v>
      </c>
      <c r="S27" s="624"/>
      <c r="T27" s="787"/>
      <c r="U27" s="624">
        <v>-80479.37</v>
      </c>
      <c r="V27" s="624">
        <v>-486748.67</v>
      </c>
      <c r="W27" s="624">
        <v>-45734.85</v>
      </c>
      <c r="X27" s="624">
        <v>-253378.48</v>
      </c>
      <c r="Y27" s="624"/>
    </row>
    <row r="28" spans="1:25">
      <c r="A28" s="804">
        <f t="shared" ref="A28:A104" si="17">A27+0.01</f>
        <v>2.1199999999999974</v>
      </c>
      <c r="B28" s="624" t="s">
        <v>1199</v>
      </c>
      <c r="C28" s="787">
        <f t="shared" si="0"/>
        <v>239853.82</v>
      </c>
      <c r="D28" s="787">
        <f t="shared" si="1"/>
        <v>318940.30000000005</v>
      </c>
      <c r="E28" s="787"/>
      <c r="F28" s="787"/>
      <c r="G28" s="787">
        <f t="shared" si="2"/>
        <v>279397</v>
      </c>
      <c r="H28" s="787"/>
      <c r="I28" s="787">
        <f t="shared" si="3"/>
        <v>230551.12</v>
      </c>
      <c r="J28" s="787">
        <f t="shared" si="4"/>
        <v>13190.485000000001</v>
      </c>
      <c r="K28" s="787">
        <f t="shared" si="5"/>
        <v>11992.744999999999</v>
      </c>
      <c r="L28" s="787">
        <f t="shared" si="6"/>
        <v>23662.71</v>
      </c>
      <c r="M28" s="787">
        <f t="shared" si="7"/>
        <v>0</v>
      </c>
      <c r="N28" s="787"/>
      <c r="O28" s="624">
        <v>187235.59</v>
      </c>
      <c r="P28" s="624">
        <v>16546.07</v>
      </c>
      <c r="Q28" s="624">
        <v>1655.1000000000001</v>
      </c>
      <c r="R28" s="624">
        <v>34417.06</v>
      </c>
      <c r="S28" s="624"/>
      <c r="T28" s="787"/>
      <c r="U28" s="624">
        <v>273866.65000000002</v>
      </c>
      <c r="V28" s="624">
        <v>9834.9</v>
      </c>
      <c r="W28" s="624">
        <v>22330.39</v>
      </c>
      <c r="X28" s="624">
        <v>12908.36</v>
      </c>
      <c r="Y28" s="624"/>
    </row>
    <row r="29" spans="1:25">
      <c r="A29" s="804">
        <f t="shared" si="17"/>
        <v>2.1299999999999972</v>
      </c>
      <c r="B29" s="624" t="s">
        <v>1200</v>
      </c>
      <c r="C29" s="787">
        <f t="shared" si="0"/>
        <v>-11443670.49</v>
      </c>
      <c r="D29" s="787">
        <f t="shared" si="1"/>
        <v>-12990160.82</v>
      </c>
      <c r="E29" s="787"/>
      <c r="F29" s="787"/>
      <c r="G29" s="787">
        <f t="shared" si="2"/>
        <v>-12216916</v>
      </c>
      <c r="H29" s="787"/>
      <c r="I29" s="787">
        <f t="shared" si="3"/>
        <v>-5690654.9350000005</v>
      </c>
      <c r="J29" s="787">
        <f t="shared" si="4"/>
        <v>1166958.415</v>
      </c>
      <c r="K29" s="787">
        <f t="shared" si="5"/>
        <v>-535546.53500000003</v>
      </c>
      <c r="L29" s="787">
        <f t="shared" si="6"/>
        <v>-7157672.5999999996</v>
      </c>
      <c r="M29" s="787">
        <f t="shared" si="7"/>
        <v>0</v>
      </c>
      <c r="N29" s="787"/>
      <c r="O29" s="624">
        <v>-5268575.3</v>
      </c>
      <c r="P29" s="624">
        <v>1010721.61</v>
      </c>
      <c r="Q29" s="624">
        <v>-481613.69</v>
      </c>
      <c r="R29" s="624">
        <v>-6704203.1100000003</v>
      </c>
      <c r="S29" s="624"/>
      <c r="T29" s="787"/>
      <c r="U29" s="624">
        <v>-6112734.5700000003</v>
      </c>
      <c r="V29" s="624">
        <v>1323195.22</v>
      </c>
      <c r="W29" s="624">
        <v>-589479.38</v>
      </c>
      <c r="X29" s="624">
        <v>-7611142.0899999999</v>
      </c>
      <c r="Y29" s="624"/>
    </row>
    <row r="30" spans="1:25">
      <c r="A30" s="804">
        <f t="shared" si="17"/>
        <v>2.139999999999997</v>
      </c>
      <c r="B30" s="624" t="s">
        <v>1201</v>
      </c>
      <c r="C30" s="787">
        <f t="shared" si="0"/>
        <v>3479616.7500000005</v>
      </c>
      <c r="D30" s="787">
        <f t="shared" si="1"/>
        <v>0.14000000000000001</v>
      </c>
      <c r="E30" s="787"/>
      <c r="F30" s="787"/>
      <c r="G30" s="787">
        <f t="shared" si="2"/>
        <v>1739808</v>
      </c>
      <c r="H30" s="787"/>
      <c r="I30" s="787">
        <f t="shared" si="3"/>
        <v>-547539.06500000006</v>
      </c>
      <c r="J30" s="787">
        <f t="shared" si="4"/>
        <v>-310508.52</v>
      </c>
      <c r="K30" s="787">
        <f t="shared" si="5"/>
        <v>481004.685</v>
      </c>
      <c r="L30" s="787">
        <f t="shared" si="6"/>
        <v>2116851.3450000002</v>
      </c>
      <c r="M30" s="787">
        <f t="shared" si="7"/>
        <v>0</v>
      </c>
      <c r="N30" s="787"/>
      <c r="O30" s="624">
        <v>-1095078.27</v>
      </c>
      <c r="P30" s="624">
        <v>-621017.04</v>
      </c>
      <c r="Q30" s="624">
        <v>962009.37</v>
      </c>
      <c r="R30" s="624">
        <v>4233702.6900000004</v>
      </c>
      <c r="S30" s="624"/>
      <c r="T30" s="787"/>
      <c r="U30" s="624">
        <v>0.14000000000000001</v>
      </c>
      <c r="V30" s="624"/>
      <c r="W30" s="624">
        <v>0</v>
      </c>
      <c r="X30" s="624"/>
      <c r="Y30" s="624"/>
    </row>
    <row r="31" spans="1:25">
      <c r="A31" s="804">
        <f t="shared" si="17"/>
        <v>2.1499999999999968</v>
      </c>
      <c r="B31" s="624" t="s">
        <v>1202</v>
      </c>
      <c r="C31" s="787">
        <f t="shared" si="0"/>
        <v>131450.97999999998</v>
      </c>
      <c r="D31" s="787">
        <f t="shared" si="1"/>
        <v>145570.1</v>
      </c>
      <c r="E31" s="787"/>
      <c r="F31" s="787"/>
      <c r="G31" s="787">
        <f t="shared" si="2"/>
        <v>138511</v>
      </c>
      <c r="H31" s="787"/>
      <c r="I31" s="787">
        <f t="shared" si="3"/>
        <v>7223.02</v>
      </c>
      <c r="J31" s="787">
        <f t="shared" si="4"/>
        <v>110100.175</v>
      </c>
      <c r="K31" s="787">
        <f t="shared" si="5"/>
        <v>-382.39000000000033</v>
      </c>
      <c r="L31" s="787">
        <f t="shared" si="6"/>
        <v>21569.735000000001</v>
      </c>
      <c r="M31" s="787">
        <f t="shared" si="7"/>
        <v>0</v>
      </c>
      <c r="N31" s="787"/>
      <c r="O31" s="624">
        <v>6930.7</v>
      </c>
      <c r="P31" s="624">
        <v>102706.81</v>
      </c>
      <c r="Q31" s="624">
        <v>4163.6499999999996</v>
      </c>
      <c r="R31" s="624">
        <v>17649.82</v>
      </c>
      <c r="S31" s="624"/>
      <c r="T31" s="787"/>
      <c r="U31" s="624">
        <v>7515.34</v>
      </c>
      <c r="V31" s="624">
        <v>117493.54000000001</v>
      </c>
      <c r="W31" s="624">
        <v>-4928.43</v>
      </c>
      <c r="X31" s="624">
        <v>25489.65</v>
      </c>
      <c r="Y31" s="624"/>
    </row>
    <row r="32" spans="1:25">
      <c r="A32" s="804">
        <f t="shared" si="17"/>
        <v>2.1599999999999966</v>
      </c>
      <c r="B32" s="624" t="s">
        <v>1203</v>
      </c>
      <c r="C32" s="787">
        <f t="shared" si="0"/>
        <v>190640.90000000002</v>
      </c>
      <c r="D32" s="787">
        <f t="shared" si="1"/>
        <v>0</v>
      </c>
      <c r="E32" s="787"/>
      <c r="F32" s="787"/>
      <c r="G32" s="787">
        <f t="shared" si="2"/>
        <v>95320</v>
      </c>
      <c r="H32" s="787"/>
      <c r="I32" s="787">
        <f t="shared" si="3"/>
        <v>-434.61500000000001</v>
      </c>
      <c r="J32" s="787">
        <f t="shared" si="4"/>
        <v>49272.72</v>
      </c>
      <c r="K32" s="787">
        <f t="shared" si="5"/>
        <v>10418.205</v>
      </c>
      <c r="L32" s="787">
        <f t="shared" si="6"/>
        <v>36064.14</v>
      </c>
      <c r="M32" s="787">
        <f t="shared" si="7"/>
        <v>0</v>
      </c>
      <c r="N32" s="787"/>
      <c r="O32" s="624">
        <v>-869.23</v>
      </c>
      <c r="P32" s="624">
        <v>98545.44</v>
      </c>
      <c r="Q32" s="624">
        <v>20836.41</v>
      </c>
      <c r="R32" s="624">
        <v>72128.28</v>
      </c>
      <c r="S32" s="624"/>
      <c r="T32" s="787"/>
      <c r="U32" s="624">
        <v>0</v>
      </c>
      <c r="V32" s="624"/>
      <c r="W32" s="624">
        <v>0</v>
      </c>
      <c r="X32" s="624"/>
      <c r="Y32" s="624"/>
    </row>
    <row r="33" spans="1:25">
      <c r="A33" s="804">
        <f t="shared" si="17"/>
        <v>2.1699999999999964</v>
      </c>
      <c r="B33" s="624" t="s">
        <v>1204</v>
      </c>
      <c r="C33" s="787">
        <f t="shared" si="0"/>
        <v>82715.11</v>
      </c>
      <c r="D33" s="787">
        <f t="shared" si="1"/>
        <v>115861.88999999998</v>
      </c>
      <c r="E33" s="787"/>
      <c r="F33" s="787"/>
      <c r="G33" s="787">
        <f t="shared" si="2"/>
        <v>99289</v>
      </c>
      <c r="H33" s="787"/>
      <c r="I33" s="787">
        <f t="shared" si="3"/>
        <v>1.2</v>
      </c>
      <c r="J33" s="787">
        <f t="shared" si="4"/>
        <v>25681.845000000001</v>
      </c>
      <c r="K33" s="787">
        <f t="shared" si="5"/>
        <v>0</v>
      </c>
      <c r="L33" s="787">
        <f t="shared" si="6"/>
        <v>73605.455000000002</v>
      </c>
      <c r="M33" s="787">
        <f t="shared" si="7"/>
        <v>0</v>
      </c>
      <c r="N33" s="787"/>
      <c r="O33" s="624">
        <v>1.2</v>
      </c>
      <c r="P33" s="624">
        <v>17612.2</v>
      </c>
      <c r="Q33" s="624"/>
      <c r="R33" s="624">
        <v>65101.71</v>
      </c>
      <c r="S33" s="624"/>
      <c r="T33" s="787"/>
      <c r="U33" s="624">
        <v>1.2</v>
      </c>
      <c r="V33" s="624">
        <v>33751.49</v>
      </c>
      <c r="W33" s="624"/>
      <c r="X33" s="624">
        <v>82109.2</v>
      </c>
      <c r="Y33" s="624"/>
    </row>
    <row r="34" spans="1:25">
      <c r="A34" s="804">
        <f t="shared" si="17"/>
        <v>2.1799999999999962</v>
      </c>
      <c r="B34" s="624" t="s">
        <v>1205</v>
      </c>
      <c r="C34" s="787">
        <f t="shared" si="0"/>
        <v>0.74</v>
      </c>
      <c r="D34" s="787">
        <f t="shared" si="1"/>
        <v>0.74</v>
      </c>
      <c r="E34" s="787"/>
      <c r="F34" s="787"/>
      <c r="G34" s="787">
        <f t="shared" si="2"/>
        <v>1</v>
      </c>
      <c r="H34" s="787"/>
      <c r="I34" s="787">
        <f t="shared" si="3"/>
        <v>0.59</v>
      </c>
      <c r="J34" s="787">
        <f t="shared" si="4"/>
        <v>-0.27</v>
      </c>
      <c r="K34" s="787">
        <f t="shared" si="5"/>
        <v>0</v>
      </c>
      <c r="L34" s="787">
        <f t="shared" si="6"/>
        <v>0.42</v>
      </c>
      <c r="M34" s="787">
        <f t="shared" si="7"/>
        <v>0</v>
      </c>
      <c r="N34" s="787"/>
      <c r="O34" s="624">
        <v>0.59</v>
      </c>
      <c r="P34" s="624">
        <v>-0.27</v>
      </c>
      <c r="Q34" s="624"/>
      <c r="R34" s="624">
        <v>0.42</v>
      </c>
      <c r="S34" s="624"/>
      <c r="T34" s="787"/>
      <c r="U34" s="624">
        <v>0.59</v>
      </c>
      <c r="V34" s="624">
        <v>-0.27</v>
      </c>
      <c r="W34" s="624"/>
      <c r="X34" s="624">
        <v>0.42</v>
      </c>
      <c r="Y34" s="624"/>
    </row>
    <row r="35" spans="1:25">
      <c r="A35" s="804">
        <f t="shared" si="17"/>
        <v>2.1899999999999959</v>
      </c>
      <c r="B35" s="624" t="s">
        <v>1206</v>
      </c>
      <c r="C35" s="787">
        <f t="shared" si="0"/>
        <v>84948.47</v>
      </c>
      <c r="D35" s="787">
        <f t="shared" si="1"/>
        <v>246388.5</v>
      </c>
      <c r="E35" s="787"/>
      <c r="F35" s="787"/>
      <c r="G35" s="787">
        <f t="shared" si="2"/>
        <v>165668</v>
      </c>
      <c r="H35" s="787"/>
      <c r="I35" s="787">
        <f t="shared" si="3"/>
        <v>0</v>
      </c>
      <c r="J35" s="787">
        <f t="shared" si="4"/>
        <v>165668.48499999999</v>
      </c>
      <c r="K35" s="787">
        <f t="shared" si="5"/>
        <v>0</v>
      </c>
      <c r="L35" s="787">
        <f t="shared" si="6"/>
        <v>0</v>
      </c>
      <c r="M35" s="787">
        <f t="shared" si="7"/>
        <v>0</v>
      </c>
      <c r="N35" s="787"/>
      <c r="O35" s="624"/>
      <c r="P35" s="624">
        <v>84948.47</v>
      </c>
      <c r="Q35" s="624"/>
      <c r="R35" s="624"/>
      <c r="S35" s="624"/>
      <c r="T35" s="787"/>
      <c r="U35" s="624"/>
      <c r="V35" s="624">
        <v>246388.5</v>
      </c>
      <c r="W35" s="624"/>
      <c r="X35" s="624"/>
      <c r="Y35" s="624"/>
    </row>
    <row r="36" spans="1:25">
      <c r="A36" s="804">
        <f t="shared" si="17"/>
        <v>2.1999999999999957</v>
      </c>
      <c r="B36" s="624" t="s">
        <v>1424</v>
      </c>
      <c r="C36" s="787">
        <f t="shared" ref="C36" si="18">SUM(O36:S36)</f>
        <v>0</v>
      </c>
      <c r="D36" s="787">
        <f t="shared" ref="D36" si="19">SUM(U36:Y36)</f>
        <v>-0.05</v>
      </c>
      <c r="E36" s="787"/>
      <c r="F36" s="787"/>
      <c r="G36" s="787">
        <f t="shared" ref="G36" si="20">ROUND(SUM(C36:F36)/2,0)</f>
        <v>0</v>
      </c>
      <c r="H36" s="787"/>
      <c r="I36" s="787">
        <f t="shared" ref="I36" si="21">(O36+U36)/2</f>
        <v>-2.5000000000000001E-2</v>
      </c>
      <c r="J36" s="787">
        <f t="shared" ref="J36" si="22">(P36+V36)/2</f>
        <v>0</v>
      </c>
      <c r="K36" s="787">
        <f t="shared" ref="K36" si="23">(Q36+W36)/2</f>
        <v>0</v>
      </c>
      <c r="L36" s="787">
        <f t="shared" ref="L36" si="24">(R36+X36)/2</f>
        <v>0</v>
      </c>
      <c r="M36" s="787">
        <f t="shared" ref="M36" si="25">(S36+Y36)/2</f>
        <v>0</v>
      </c>
      <c r="N36" s="787"/>
      <c r="O36" s="624"/>
      <c r="P36" s="624"/>
      <c r="Q36" s="624"/>
      <c r="R36" s="624"/>
      <c r="S36" s="624"/>
      <c r="T36" s="787"/>
      <c r="U36" s="624">
        <v>-0.05</v>
      </c>
      <c r="V36" s="624"/>
      <c r="W36" s="624"/>
      <c r="X36" s="624"/>
      <c r="Y36" s="624"/>
    </row>
    <row r="37" spans="1:25">
      <c r="A37" s="804">
        <f t="shared" si="17"/>
        <v>2.2099999999999955</v>
      </c>
      <c r="B37" s="624" t="s">
        <v>1207</v>
      </c>
      <c r="C37" s="787">
        <f t="shared" si="0"/>
        <v>1945.81</v>
      </c>
      <c r="D37" s="787">
        <f t="shared" si="1"/>
        <v>1946.02</v>
      </c>
      <c r="E37" s="787"/>
      <c r="F37" s="787"/>
      <c r="G37" s="787">
        <f t="shared" si="2"/>
        <v>1946</v>
      </c>
      <c r="H37" s="787"/>
      <c r="I37" s="787">
        <f t="shared" si="3"/>
        <v>0.37</v>
      </c>
      <c r="J37" s="787">
        <f t="shared" si="4"/>
        <v>0</v>
      </c>
      <c r="K37" s="787">
        <f t="shared" si="5"/>
        <v>581.56500000000005</v>
      </c>
      <c r="L37" s="787">
        <f t="shared" si="6"/>
        <v>1363.98</v>
      </c>
      <c r="M37" s="787">
        <f t="shared" si="7"/>
        <v>0</v>
      </c>
      <c r="N37" s="787"/>
      <c r="O37" s="624">
        <v>0.37</v>
      </c>
      <c r="P37" s="624"/>
      <c r="Q37" s="624">
        <v>581.46</v>
      </c>
      <c r="R37" s="624">
        <v>1363.98</v>
      </c>
      <c r="S37" s="624"/>
      <c r="T37" s="787"/>
      <c r="U37" s="624">
        <v>0.37</v>
      </c>
      <c r="V37" s="624"/>
      <c r="W37" s="624">
        <v>581.66999999999996</v>
      </c>
      <c r="X37" s="624">
        <v>1363.98</v>
      </c>
      <c r="Y37" s="624"/>
    </row>
    <row r="38" spans="1:25">
      <c r="A38" s="804">
        <f t="shared" si="17"/>
        <v>2.2199999999999953</v>
      </c>
      <c r="B38" s="624" t="s">
        <v>1208</v>
      </c>
      <c r="C38" s="787">
        <f t="shared" si="0"/>
        <v>4739899.8100000005</v>
      </c>
      <c r="D38" s="787">
        <f t="shared" si="1"/>
        <v>8529833.25</v>
      </c>
      <c r="E38" s="787"/>
      <c r="F38" s="787"/>
      <c r="G38" s="787">
        <f t="shared" si="2"/>
        <v>6634867</v>
      </c>
      <c r="H38" s="787"/>
      <c r="I38" s="787">
        <f t="shared" si="3"/>
        <v>256223.61500000002</v>
      </c>
      <c r="J38" s="787">
        <f t="shared" si="4"/>
        <v>4317132.1449999996</v>
      </c>
      <c r="K38" s="787">
        <f t="shared" si="5"/>
        <v>325834.44</v>
      </c>
      <c r="L38" s="787">
        <f t="shared" si="6"/>
        <v>1735676.33</v>
      </c>
      <c r="M38" s="787">
        <f t="shared" si="7"/>
        <v>0</v>
      </c>
      <c r="N38" s="787"/>
      <c r="O38" s="624">
        <v>184044.45</v>
      </c>
      <c r="P38" s="624">
        <v>2800989.95</v>
      </c>
      <c r="Q38" s="624">
        <v>209133.38</v>
      </c>
      <c r="R38" s="624">
        <v>1545732.03</v>
      </c>
      <c r="S38" s="624"/>
      <c r="T38" s="787"/>
      <c r="U38" s="624">
        <v>328402.78000000003</v>
      </c>
      <c r="V38" s="624">
        <v>5833274.3399999999</v>
      </c>
      <c r="W38" s="624">
        <v>442535.5</v>
      </c>
      <c r="X38" s="624">
        <v>1925620.63</v>
      </c>
      <c r="Y38" s="624"/>
    </row>
    <row r="39" spans="1:25">
      <c r="A39" s="804">
        <f t="shared" si="17"/>
        <v>2.2299999999999951</v>
      </c>
      <c r="B39" s="624" t="s">
        <v>1209</v>
      </c>
      <c r="C39" s="787">
        <f t="shared" si="0"/>
        <v>0</v>
      </c>
      <c r="D39" s="787">
        <f t="shared" si="1"/>
        <v>0</v>
      </c>
      <c r="E39" s="787"/>
      <c r="F39" s="787"/>
      <c r="G39" s="787">
        <f t="shared" si="2"/>
        <v>0</v>
      </c>
      <c r="H39" s="787"/>
      <c r="I39" s="787">
        <f t="shared" si="3"/>
        <v>0</v>
      </c>
      <c r="J39" s="787">
        <f t="shared" si="4"/>
        <v>0</v>
      </c>
      <c r="K39" s="787">
        <f t="shared" si="5"/>
        <v>0</v>
      </c>
      <c r="L39" s="787">
        <f t="shared" si="6"/>
        <v>0</v>
      </c>
      <c r="M39" s="787">
        <f t="shared" si="7"/>
        <v>0</v>
      </c>
      <c r="N39" s="787"/>
      <c r="O39" s="624"/>
      <c r="P39" s="624">
        <v>0</v>
      </c>
      <c r="Q39" s="624"/>
      <c r="R39" s="624">
        <v>0</v>
      </c>
      <c r="S39" s="624"/>
      <c r="T39" s="787"/>
      <c r="U39" s="624"/>
      <c r="V39" s="624"/>
      <c r="W39" s="624"/>
      <c r="X39" s="624"/>
      <c r="Y39" s="624"/>
    </row>
    <row r="40" spans="1:25">
      <c r="A40" s="804">
        <f t="shared" si="17"/>
        <v>2.2399999999999949</v>
      </c>
      <c r="B40" s="624" t="s">
        <v>1210</v>
      </c>
      <c r="C40" s="787">
        <f t="shared" si="0"/>
        <v>3676378.12</v>
      </c>
      <c r="D40" s="787">
        <f t="shared" si="1"/>
        <v>3630312.2199999997</v>
      </c>
      <c r="E40" s="787"/>
      <c r="F40" s="787"/>
      <c r="G40" s="787">
        <f t="shared" si="2"/>
        <v>3653345</v>
      </c>
      <c r="H40" s="787"/>
      <c r="I40" s="787">
        <f t="shared" si="3"/>
        <v>281212.45</v>
      </c>
      <c r="J40" s="787">
        <f t="shared" si="4"/>
        <v>1997214.65</v>
      </c>
      <c r="K40" s="787">
        <f t="shared" si="5"/>
        <v>276644.85499999998</v>
      </c>
      <c r="L40" s="787">
        <f t="shared" si="6"/>
        <v>1098273.2149999999</v>
      </c>
      <c r="M40" s="787">
        <f t="shared" si="7"/>
        <v>0</v>
      </c>
      <c r="N40" s="787"/>
      <c r="O40" s="624">
        <v>252973.56</v>
      </c>
      <c r="P40" s="624">
        <v>2053871.94</v>
      </c>
      <c r="Q40" s="624">
        <v>287489.84000000003</v>
      </c>
      <c r="R40" s="624">
        <v>1082042.78</v>
      </c>
      <c r="S40" s="624"/>
      <c r="T40" s="787"/>
      <c r="U40" s="624">
        <v>309451.34000000003</v>
      </c>
      <c r="V40" s="624">
        <v>1940557.3599999999</v>
      </c>
      <c r="W40" s="624">
        <v>265799.87</v>
      </c>
      <c r="X40" s="624">
        <v>1114503.6499999999</v>
      </c>
      <c r="Y40" s="624"/>
    </row>
    <row r="41" spans="1:25">
      <c r="A41" s="804">
        <f t="shared" si="17"/>
        <v>2.2499999999999947</v>
      </c>
      <c r="B41" s="624" t="s">
        <v>1211</v>
      </c>
      <c r="C41" s="787">
        <f t="shared" si="0"/>
        <v>0.09</v>
      </c>
      <c r="D41" s="787">
        <f t="shared" si="1"/>
        <v>0</v>
      </c>
      <c r="E41" s="787"/>
      <c r="F41" s="787"/>
      <c r="G41" s="787">
        <f t="shared" si="2"/>
        <v>0</v>
      </c>
      <c r="H41" s="787"/>
      <c r="I41" s="787">
        <f t="shared" si="3"/>
        <v>0</v>
      </c>
      <c r="J41" s="787">
        <f t="shared" si="4"/>
        <v>4.4999999999999998E-2</v>
      </c>
      <c r="K41" s="787">
        <f t="shared" si="5"/>
        <v>0</v>
      </c>
      <c r="L41" s="787">
        <f t="shared" si="6"/>
        <v>0</v>
      </c>
      <c r="M41" s="787">
        <f t="shared" si="7"/>
        <v>0</v>
      </c>
      <c r="N41" s="787"/>
      <c r="O41" s="624"/>
      <c r="P41" s="624">
        <v>0.09</v>
      </c>
      <c r="Q41" s="624"/>
      <c r="R41" s="624"/>
      <c r="S41" s="624"/>
      <c r="T41" s="787"/>
      <c r="U41" s="624"/>
      <c r="V41" s="624"/>
      <c r="W41" s="624"/>
      <c r="X41" s="624"/>
      <c r="Y41" s="624"/>
    </row>
    <row r="42" spans="1:25">
      <c r="A42" s="804">
        <f t="shared" si="17"/>
        <v>2.2599999999999945</v>
      </c>
      <c r="B42" s="624" t="s">
        <v>1212</v>
      </c>
      <c r="C42" s="787">
        <f t="shared" si="0"/>
        <v>148515.35999999999</v>
      </c>
      <c r="D42" s="787">
        <f t="shared" si="1"/>
        <v>146379.6</v>
      </c>
      <c r="E42" s="787"/>
      <c r="F42" s="787"/>
      <c r="G42" s="787">
        <f t="shared" si="2"/>
        <v>147447</v>
      </c>
      <c r="H42" s="787"/>
      <c r="I42" s="787">
        <f t="shared" si="3"/>
        <v>0</v>
      </c>
      <c r="J42" s="787">
        <f t="shared" si="4"/>
        <v>34411.839999999997</v>
      </c>
      <c r="K42" s="787">
        <f t="shared" si="5"/>
        <v>0</v>
      </c>
      <c r="L42" s="787">
        <f t="shared" si="6"/>
        <v>113035.64</v>
      </c>
      <c r="M42" s="787">
        <f t="shared" si="7"/>
        <v>0</v>
      </c>
      <c r="N42" s="787"/>
      <c r="O42" s="624"/>
      <c r="P42" s="624">
        <v>30460.22</v>
      </c>
      <c r="Q42" s="624"/>
      <c r="R42" s="624">
        <v>118055.14</v>
      </c>
      <c r="S42" s="624"/>
      <c r="T42" s="787"/>
      <c r="U42" s="624"/>
      <c r="V42" s="624">
        <v>38363.46</v>
      </c>
      <c r="W42" s="624"/>
      <c r="X42" s="624">
        <v>108016.14</v>
      </c>
      <c r="Y42" s="624"/>
    </row>
    <row r="43" spans="1:25">
      <c r="A43" s="804">
        <f t="shared" si="17"/>
        <v>2.2699999999999942</v>
      </c>
      <c r="B43" s="624" t="s">
        <v>1213</v>
      </c>
      <c r="C43" s="787">
        <f t="shared" si="0"/>
        <v>-11390.59</v>
      </c>
      <c r="D43" s="787">
        <f t="shared" si="1"/>
        <v>23771.59</v>
      </c>
      <c r="E43" s="787"/>
      <c r="F43" s="787"/>
      <c r="G43" s="787">
        <f t="shared" si="2"/>
        <v>6191</v>
      </c>
      <c r="H43" s="787"/>
      <c r="I43" s="787">
        <f t="shared" si="3"/>
        <v>-8.805000000000291</v>
      </c>
      <c r="J43" s="787">
        <f t="shared" si="4"/>
        <v>2100</v>
      </c>
      <c r="K43" s="787">
        <f t="shared" si="5"/>
        <v>0</v>
      </c>
      <c r="L43" s="787">
        <f t="shared" si="6"/>
        <v>4099.3050000000003</v>
      </c>
      <c r="M43" s="787">
        <f t="shared" si="7"/>
        <v>0</v>
      </c>
      <c r="N43" s="787"/>
      <c r="O43" s="624">
        <v>-11390.59</v>
      </c>
      <c r="P43" s="624"/>
      <c r="Q43" s="624"/>
      <c r="R43" s="624"/>
      <c r="S43" s="624"/>
      <c r="T43" s="787"/>
      <c r="U43" s="624">
        <v>11372.98</v>
      </c>
      <c r="V43" s="624">
        <v>4200</v>
      </c>
      <c r="W43" s="624"/>
      <c r="X43" s="624">
        <v>8198.61</v>
      </c>
      <c r="Y43" s="624"/>
    </row>
    <row r="44" spans="1:25">
      <c r="A44" s="804">
        <f t="shared" si="17"/>
        <v>2.279999999999994</v>
      </c>
      <c r="B44" s="624" t="s">
        <v>1214</v>
      </c>
      <c r="C44" s="787">
        <f t="shared" si="0"/>
        <v>0</v>
      </c>
      <c r="D44" s="787">
        <f t="shared" si="1"/>
        <v>0</v>
      </c>
      <c r="E44" s="787"/>
      <c r="F44" s="787"/>
      <c r="G44" s="787">
        <f t="shared" si="2"/>
        <v>0</v>
      </c>
      <c r="H44" s="787"/>
      <c r="I44" s="787">
        <f t="shared" si="3"/>
        <v>0</v>
      </c>
      <c r="J44" s="787">
        <f t="shared" si="4"/>
        <v>0</v>
      </c>
      <c r="K44" s="787">
        <f t="shared" si="5"/>
        <v>0</v>
      </c>
      <c r="L44" s="787">
        <f t="shared" si="6"/>
        <v>0</v>
      </c>
      <c r="M44" s="787">
        <f t="shared" si="7"/>
        <v>0</v>
      </c>
      <c r="N44" s="787"/>
      <c r="O44" s="624"/>
      <c r="P44" s="624"/>
      <c r="Q44" s="624"/>
      <c r="R44" s="624"/>
      <c r="S44" s="624"/>
      <c r="T44" s="787"/>
      <c r="U44" s="624"/>
      <c r="V44" s="624"/>
      <c r="W44" s="624"/>
      <c r="X44" s="624"/>
      <c r="Y44" s="624"/>
    </row>
    <row r="45" spans="1:25">
      <c r="A45" s="804">
        <f t="shared" si="17"/>
        <v>2.2899999999999938</v>
      </c>
      <c r="B45" s="624" t="s">
        <v>1215</v>
      </c>
      <c r="C45" s="787">
        <f t="shared" si="0"/>
        <v>-0.6</v>
      </c>
      <c r="D45" s="787">
        <f t="shared" si="1"/>
        <v>-0.6</v>
      </c>
      <c r="E45" s="787"/>
      <c r="F45" s="787"/>
      <c r="G45" s="787">
        <f t="shared" si="2"/>
        <v>-1</v>
      </c>
      <c r="H45" s="787"/>
      <c r="I45" s="787">
        <f t="shared" si="3"/>
        <v>0</v>
      </c>
      <c r="J45" s="787">
        <f t="shared" si="4"/>
        <v>-0.6</v>
      </c>
      <c r="K45" s="787">
        <f t="shared" si="5"/>
        <v>0</v>
      </c>
      <c r="L45" s="787">
        <f t="shared" si="6"/>
        <v>0</v>
      </c>
      <c r="M45" s="787">
        <f t="shared" si="7"/>
        <v>0</v>
      </c>
      <c r="N45" s="787"/>
      <c r="O45" s="624"/>
      <c r="P45" s="624">
        <v>-0.6</v>
      </c>
      <c r="Q45" s="624"/>
      <c r="R45" s="624"/>
      <c r="S45" s="624"/>
      <c r="T45" s="787"/>
      <c r="U45" s="624"/>
      <c r="V45" s="624">
        <v>-0.6</v>
      </c>
      <c r="W45" s="624"/>
      <c r="X45" s="624"/>
      <c r="Y45" s="624"/>
    </row>
    <row r="46" spans="1:25">
      <c r="A46" s="804">
        <f t="shared" si="17"/>
        <v>2.2999999999999936</v>
      </c>
      <c r="B46" s="624" t="s">
        <v>1216</v>
      </c>
      <c r="C46" s="787">
        <f t="shared" si="0"/>
        <v>52085.919999999998</v>
      </c>
      <c r="D46" s="787">
        <f t="shared" si="1"/>
        <v>0.18000000000000002</v>
      </c>
      <c r="E46" s="787"/>
      <c r="F46" s="787"/>
      <c r="G46" s="787">
        <f t="shared" si="2"/>
        <v>26043</v>
      </c>
      <c r="H46" s="787"/>
      <c r="I46" s="787">
        <f t="shared" si="3"/>
        <v>0.18</v>
      </c>
      <c r="J46" s="787">
        <f t="shared" si="4"/>
        <v>8334.619999999999</v>
      </c>
      <c r="K46" s="787">
        <f t="shared" si="5"/>
        <v>0</v>
      </c>
      <c r="L46" s="787">
        <f t="shared" si="6"/>
        <v>17708.25</v>
      </c>
      <c r="M46" s="787">
        <f t="shared" si="7"/>
        <v>0</v>
      </c>
      <c r="N46" s="787"/>
      <c r="O46" s="624">
        <v>0.18</v>
      </c>
      <c r="P46" s="624">
        <v>16669.03</v>
      </c>
      <c r="Q46" s="624"/>
      <c r="R46" s="624">
        <v>35416.71</v>
      </c>
      <c r="S46" s="624"/>
      <c r="T46" s="787"/>
      <c r="U46" s="624">
        <v>0.18</v>
      </c>
      <c r="V46" s="624">
        <v>0.21</v>
      </c>
      <c r="W46" s="624"/>
      <c r="X46" s="624">
        <v>-0.21</v>
      </c>
      <c r="Y46" s="624"/>
    </row>
    <row r="47" spans="1:25">
      <c r="A47" s="804">
        <f t="shared" si="17"/>
        <v>2.3099999999999934</v>
      </c>
      <c r="B47" s="624" t="s">
        <v>1217</v>
      </c>
      <c r="C47" s="787">
        <f t="shared" si="0"/>
        <v>0.53</v>
      </c>
      <c r="D47" s="787">
        <f t="shared" si="1"/>
        <v>0.53</v>
      </c>
      <c r="E47" s="787"/>
      <c r="F47" s="787"/>
      <c r="G47" s="787">
        <f t="shared" si="2"/>
        <v>1</v>
      </c>
      <c r="H47" s="787"/>
      <c r="I47" s="787">
        <f t="shared" si="3"/>
        <v>0.54</v>
      </c>
      <c r="J47" s="787">
        <f t="shared" si="4"/>
        <v>0.74</v>
      </c>
      <c r="K47" s="787">
        <f t="shared" si="5"/>
        <v>0</v>
      </c>
      <c r="L47" s="787">
        <f t="shared" si="6"/>
        <v>-0.75</v>
      </c>
      <c r="M47" s="787">
        <f t="shared" si="7"/>
        <v>0</v>
      </c>
      <c r="N47" s="787"/>
      <c r="O47" s="624">
        <v>0.54</v>
      </c>
      <c r="P47" s="624">
        <v>0.74</v>
      </c>
      <c r="Q47" s="624"/>
      <c r="R47" s="624">
        <v>-0.75</v>
      </c>
      <c r="S47" s="624"/>
      <c r="T47" s="787"/>
      <c r="U47" s="624">
        <v>0.54</v>
      </c>
      <c r="V47" s="624">
        <v>0.74</v>
      </c>
      <c r="W47" s="624"/>
      <c r="X47" s="624">
        <v>-0.75</v>
      </c>
      <c r="Y47" s="624"/>
    </row>
    <row r="48" spans="1:25">
      <c r="A48" s="804">
        <f t="shared" si="17"/>
        <v>2.3199999999999932</v>
      </c>
      <c r="B48" s="624" t="s">
        <v>1218</v>
      </c>
      <c r="C48" s="787">
        <f t="shared" si="0"/>
        <v>0.06</v>
      </c>
      <c r="D48" s="787">
        <f t="shared" si="1"/>
        <v>0.06</v>
      </c>
      <c r="E48" s="787"/>
      <c r="F48" s="787"/>
      <c r="G48" s="787">
        <f t="shared" si="2"/>
        <v>0</v>
      </c>
      <c r="H48" s="787"/>
      <c r="I48" s="787">
        <f t="shared" si="3"/>
        <v>0</v>
      </c>
      <c r="J48" s="787">
        <f t="shared" si="4"/>
        <v>0</v>
      </c>
      <c r="K48" s="787">
        <f t="shared" si="5"/>
        <v>0</v>
      </c>
      <c r="L48" s="787">
        <f t="shared" si="6"/>
        <v>0.06</v>
      </c>
      <c r="M48" s="787">
        <f t="shared" si="7"/>
        <v>0</v>
      </c>
      <c r="N48" s="787"/>
      <c r="O48" s="624"/>
      <c r="P48" s="624"/>
      <c r="Q48" s="624"/>
      <c r="R48" s="624">
        <v>0.06</v>
      </c>
      <c r="S48" s="624"/>
      <c r="T48" s="787"/>
      <c r="U48" s="624"/>
      <c r="V48" s="624"/>
      <c r="W48" s="624"/>
      <c r="X48" s="624">
        <v>0.06</v>
      </c>
      <c r="Y48" s="624"/>
    </row>
    <row r="49" spans="1:25">
      <c r="A49" s="804">
        <f t="shared" si="17"/>
        <v>2.329999999999993</v>
      </c>
      <c r="B49" s="624" t="s">
        <v>1219</v>
      </c>
      <c r="C49" s="787">
        <f t="shared" si="0"/>
        <v>52500</v>
      </c>
      <c r="D49" s="787">
        <f t="shared" si="1"/>
        <v>52500</v>
      </c>
      <c r="E49" s="787"/>
      <c r="F49" s="787"/>
      <c r="G49" s="787">
        <f t="shared" si="2"/>
        <v>52500</v>
      </c>
      <c r="H49" s="787"/>
      <c r="I49" s="787">
        <f t="shared" si="3"/>
        <v>0</v>
      </c>
      <c r="J49" s="787">
        <f t="shared" si="4"/>
        <v>0</v>
      </c>
      <c r="K49" s="787">
        <f t="shared" si="5"/>
        <v>0</v>
      </c>
      <c r="L49" s="787">
        <f t="shared" si="6"/>
        <v>52500</v>
      </c>
      <c r="M49" s="787">
        <f t="shared" si="7"/>
        <v>0</v>
      </c>
      <c r="N49" s="787"/>
      <c r="O49" s="624"/>
      <c r="P49" s="624"/>
      <c r="Q49" s="624"/>
      <c r="R49" s="624">
        <v>52500</v>
      </c>
      <c r="S49" s="624"/>
      <c r="T49" s="787"/>
      <c r="U49" s="624"/>
      <c r="V49" s="624"/>
      <c r="W49" s="624"/>
      <c r="X49" s="624">
        <v>52500</v>
      </c>
      <c r="Y49" s="624"/>
    </row>
    <row r="50" spans="1:25">
      <c r="A50" s="804">
        <f t="shared" si="17"/>
        <v>2.3399999999999928</v>
      </c>
      <c r="B50" s="624" t="s">
        <v>1220</v>
      </c>
      <c r="C50" s="787">
        <f t="shared" si="0"/>
        <v>31500</v>
      </c>
      <c r="D50" s="787">
        <f t="shared" si="1"/>
        <v>31500</v>
      </c>
      <c r="E50" s="787"/>
      <c r="F50" s="787"/>
      <c r="G50" s="787">
        <f t="shared" si="2"/>
        <v>31500</v>
      </c>
      <c r="H50" s="787"/>
      <c r="I50" s="787">
        <f t="shared" si="3"/>
        <v>0</v>
      </c>
      <c r="J50" s="787">
        <f t="shared" si="4"/>
        <v>0</v>
      </c>
      <c r="K50" s="787">
        <f t="shared" si="5"/>
        <v>0</v>
      </c>
      <c r="L50" s="787">
        <f t="shared" si="6"/>
        <v>31500</v>
      </c>
      <c r="M50" s="787">
        <f t="shared" si="7"/>
        <v>0</v>
      </c>
      <c r="N50" s="787"/>
      <c r="O50" s="624"/>
      <c r="P50" s="624"/>
      <c r="Q50" s="624"/>
      <c r="R50" s="624">
        <v>31500</v>
      </c>
      <c r="S50" s="624"/>
      <c r="T50" s="787"/>
      <c r="U50" s="624"/>
      <c r="V50" s="624"/>
      <c r="W50" s="624"/>
      <c r="X50" s="624">
        <v>31500</v>
      </c>
      <c r="Y50" s="624"/>
    </row>
    <row r="51" spans="1:25">
      <c r="A51" s="804">
        <f t="shared" si="17"/>
        <v>2.3499999999999925</v>
      </c>
      <c r="B51" s="624" t="s">
        <v>1221</v>
      </c>
      <c r="C51" s="787">
        <f t="shared" si="0"/>
        <v>52500.21</v>
      </c>
      <c r="D51" s="787">
        <f t="shared" si="1"/>
        <v>52500.21</v>
      </c>
      <c r="E51" s="787"/>
      <c r="F51" s="787"/>
      <c r="G51" s="787">
        <f t="shared" si="2"/>
        <v>52500</v>
      </c>
      <c r="H51" s="787"/>
      <c r="I51" s="787">
        <f t="shared" si="3"/>
        <v>52500.21</v>
      </c>
      <c r="J51" s="787">
        <f t="shared" si="4"/>
        <v>0</v>
      </c>
      <c r="K51" s="787">
        <f t="shared" si="5"/>
        <v>0</v>
      </c>
      <c r="L51" s="787">
        <f t="shared" si="6"/>
        <v>0</v>
      </c>
      <c r="M51" s="787">
        <f t="shared" si="7"/>
        <v>0</v>
      </c>
      <c r="N51" s="787"/>
      <c r="O51" s="624">
        <v>52500.21</v>
      </c>
      <c r="P51" s="624"/>
      <c r="Q51" s="624"/>
      <c r="R51" s="624"/>
      <c r="S51" s="624"/>
      <c r="T51" s="787"/>
      <c r="U51" s="624">
        <v>52500.21</v>
      </c>
      <c r="V51" s="624"/>
      <c r="W51" s="624"/>
      <c r="X51" s="624"/>
      <c r="Y51" s="624"/>
    </row>
    <row r="52" spans="1:25">
      <c r="A52" s="804">
        <f t="shared" si="17"/>
        <v>2.3599999999999923</v>
      </c>
      <c r="B52" s="624" t="s">
        <v>1222</v>
      </c>
      <c r="C52" s="787">
        <f t="shared" si="0"/>
        <v>44974.16</v>
      </c>
      <c r="D52" s="787">
        <f t="shared" si="1"/>
        <v>44974.16</v>
      </c>
      <c r="E52" s="787"/>
      <c r="F52" s="787"/>
      <c r="G52" s="787">
        <f t="shared" si="2"/>
        <v>44974</v>
      </c>
      <c r="H52" s="787"/>
      <c r="I52" s="787">
        <f t="shared" si="3"/>
        <v>44974.16</v>
      </c>
      <c r="J52" s="787">
        <f t="shared" si="4"/>
        <v>0</v>
      </c>
      <c r="K52" s="787">
        <f t="shared" si="5"/>
        <v>0</v>
      </c>
      <c r="L52" s="787">
        <f t="shared" si="6"/>
        <v>0</v>
      </c>
      <c r="M52" s="787">
        <f t="shared" si="7"/>
        <v>0</v>
      </c>
      <c r="N52" s="787"/>
      <c r="O52" s="624">
        <v>44974.16</v>
      </c>
      <c r="P52" s="624"/>
      <c r="Q52" s="624"/>
      <c r="R52" s="624"/>
      <c r="S52" s="624"/>
      <c r="T52" s="787"/>
      <c r="U52" s="624">
        <v>44974.16</v>
      </c>
      <c r="V52" s="624"/>
      <c r="W52" s="624"/>
      <c r="X52" s="624"/>
      <c r="Y52" s="624"/>
    </row>
    <row r="53" spans="1:25">
      <c r="A53" s="804">
        <f t="shared" si="17"/>
        <v>2.3699999999999921</v>
      </c>
      <c r="B53" s="624" t="s">
        <v>1223</v>
      </c>
      <c r="C53" s="787">
        <f t="shared" si="0"/>
        <v>20030.7</v>
      </c>
      <c r="D53" s="787">
        <f t="shared" si="1"/>
        <v>0</v>
      </c>
      <c r="E53" s="787"/>
      <c r="F53" s="787"/>
      <c r="G53" s="787">
        <f t="shared" si="2"/>
        <v>10015</v>
      </c>
      <c r="H53" s="787"/>
      <c r="I53" s="787">
        <f t="shared" si="3"/>
        <v>0</v>
      </c>
      <c r="J53" s="787">
        <f t="shared" si="4"/>
        <v>0</v>
      </c>
      <c r="K53" s="787">
        <f t="shared" si="5"/>
        <v>10015.35</v>
      </c>
      <c r="L53" s="787">
        <f t="shared" si="6"/>
        <v>0</v>
      </c>
      <c r="M53" s="787">
        <f t="shared" si="7"/>
        <v>0</v>
      </c>
      <c r="N53" s="787"/>
      <c r="O53" s="624"/>
      <c r="P53" s="624"/>
      <c r="Q53" s="624">
        <v>20030.7</v>
      </c>
      <c r="R53" s="624"/>
      <c r="S53" s="624"/>
      <c r="T53" s="787"/>
      <c r="U53" s="624"/>
      <c r="V53" s="624"/>
      <c r="W53" s="624"/>
      <c r="X53" s="624"/>
      <c r="Y53" s="624"/>
    </row>
    <row r="54" spans="1:25">
      <c r="A54" s="804">
        <f t="shared" si="17"/>
        <v>2.3799999999999919</v>
      </c>
      <c r="B54" s="624" t="s">
        <v>1224</v>
      </c>
      <c r="C54" s="787">
        <f t="shared" si="0"/>
        <v>0</v>
      </c>
      <c r="D54" s="787">
        <f t="shared" si="1"/>
        <v>0</v>
      </c>
      <c r="E54" s="787"/>
      <c r="F54" s="787"/>
      <c r="G54" s="787">
        <f t="shared" si="2"/>
        <v>0</v>
      </c>
      <c r="H54" s="787"/>
      <c r="I54" s="787">
        <f t="shared" si="3"/>
        <v>0.21</v>
      </c>
      <c r="J54" s="787">
        <f t="shared" si="4"/>
        <v>-0.21</v>
      </c>
      <c r="K54" s="787">
        <f t="shared" si="5"/>
        <v>0</v>
      </c>
      <c r="L54" s="787">
        <f t="shared" si="6"/>
        <v>0</v>
      </c>
      <c r="M54" s="787">
        <f t="shared" si="7"/>
        <v>0</v>
      </c>
      <c r="N54" s="787"/>
      <c r="O54" s="624">
        <v>0.21</v>
      </c>
      <c r="P54" s="624">
        <v>-0.21</v>
      </c>
      <c r="Q54" s="624"/>
      <c r="R54" s="624"/>
      <c r="S54" s="624"/>
      <c r="T54" s="787"/>
      <c r="U54" s="624">
        <v>0.21</v>
      </c>
      <c r="V54" s="624">
        <v>-0.21</v>
      </c>
      <c r="W54" s="624"/>
      <c r="X54" s="624"/>
      <c r="Y54" s="624"/>
    </row>
    <row r="55" spans="1:25">
      <c r="A55" s="804">
        <f t="shared" si="17"/>
        <v>2.3899999999999917</v>
      </c>
      <c r="B55" s="624" t="s">
        <v>1225</v>
      </c>
      <c r="C55" s="787">
        <f t="shared" si="0"/>
        <v>0</v>
      </c>
      <c r="D55" s="787">
        <f t="shared" si="1"/>
        <v>0</v>
      </c>
      <c r="E55" s="787"/>
      <c r="F55" s="787"/>
      <c r="G55" s="787">
        <f t="shared" si="2"/>
        <v>0</v>
      </c>
      <c r="H55" s="787"/>
      <c r="I55" s="787">
        <f t="shared" si="3"/>
        <v>-0.02</v>
      </c>
      <c r="J55" s="787">
        <f t="shared" si="4"/>
        <v>4.4999999999999998E-2</v>
      </c>
      <c r="K55" s="787">
        <f t="shared" si="5"/>
        <v>-2.5000000000000001E-2</v>
      </c>
      <c r="L55" s="787">
        <f t="shared" si="6"/>
        <v>0</v>
      </c>
      <c r="M55" s="787">
        <f t="shared" si="7"/>
        <v>0</v>
      </c>
      <c r="N55" s="787"/>
      <c r="O55" s="624">
        <v>-0.04</v>
      </c>
      <c r="P55" s="624">
        <v>0.09</v>
      </c>
      <c r="Q55" s="624">
        <v>-0.05</v>
      </c>
      <c r="R55" s="624"/>
      <c r="S55" s="624"/>
      <c r="T55" s="787"/>
      <c r="U55" s="624"/>
      <c r="V55" s="624"/>
      <c r="W55" s="624"/>
      <c r="X55" s="624"/>
      <c r="Y55" s="624"/>
    </row>
    <row r="56" spans="1:25">
      <c r="A56" s="804">
        <f t="shared" si="17"/>
        <v>2.3999999999999915</v>
      </c>
      <c r="B56" s="624" t="s">
        <v>1226</v>
      </c>
      <c r="C56" s="787">
        <f t="shared" si="0"/>
        <v>174444.88</v>
      </c>
      <c r="D56" s="787">
        <f t="shared" si="1"/>
        <v>187700.3</v>
      </c>
      <c r="E56" s="787"/>
      <c r="F56" s="787"/>
      <c r="G56" s="787">
        <f t="shared" si="2"/>
        <v>181073</v>
      </c>
      <c r="H56" s="787"/>
      <c r="I56" s="787">
        <f t="shared" si="3"/>
        <v>0</v>
      </c>
      <c r="J56" s="787">
        <f t="shared" si="4"/>
        <v>0</v>
      </c>
      <c r="K56" s="787">
        <f t="shared" si="5"/>
        <v>2426.9049999999997</v>
      </c>
      <c r="L56" s="787">
        <f t="shared" si="6"/>
        <v>178645.685</v>
      </c>
      <c r="M56" s="787">
        <f t="shared" si="7"/>
        <v>0</v>
      </c>
      <c r="N56" s="787"/>
      <c r="O56" s="624"/>
      <c r="P56" s="624"/>
      <c r="Q56" s="624">
        <v>2275.98</v>
      </c>
      <c r="R56" s="624">
        <v>172168.9</v>
      </c>
      <c r="S56" s="624"/>
      <c r="T56" s="787"/>
      <c r="U56" s="624"/>
      <c r="V56" s="624"/>
      <c r="W56" s="624">
        <v>2577.83</v>
      </c>
      <c r="X56" s="624">
        <v>185122.47</v>
      </c>
      <c r="Y56" s="624"/>
    </row>
    <row r="57" spans="1:25">
      <c r="A57" s="804">
        <f t="shared" si="17"/>
        <v>2.4099999999999913</v>
      </c>
      <c r="B57" s="624" t="s">
        <v>1227</v>
      </c>
      <c r="C57" s="787">
        <f t="shared" si="0"/>
        <v>217722.39</v>
      </c>
      <c r="D57" s="787">
        <f t="shared" si="1"/>
        <v>704081.72</v>
      </c>
      <c r="E57" s="787"/>
      <c r="F57" s="787"/>
      <c r="G57" s="787">
        <f t="shared" si="2"/>
        <v>460902</v>
      </c>
      <c r="H57" s="787"/>
      <c r="I57" s="787">
        <f t="shared" si="3"/>
        <v>460902.05499999999</v>
      </c>
      <c r="J57" s="787">
        <f t="shared" si="4"/>
        <v>0</v>
      </c>
      <c r="K57" s="787">
        <f t="shared" si="5"/>
        <v>0</v>
      </c>
      <c r="L57" s="787">
        <f t="shared" si="6"/>
        <v>0</v>
      </c>
      <c r="M57" s="787">
        <f t="shared" si="7"/>
        <v>0</v>
      </c>
      <c r="N57" s="787"/>
      <c r="O57" s="624">
        <v>217722.39</v>
      </c>
      <c r="P57" s="624"/>
      <c r="Q57" s="624"/>
      <c r="R57" s="624"/>
      <c r="S57" s="624"/>
      <c r="T57" s="787"/>
      <c r="U57" s="624">
        <v>704081.72</v>
      </c>
      <c r="V57" s="624"/>
      <c r="W57" s="624"/>
      <c r="X57" s="624"/>
      <c r="Y57" s="624"/>
    </row>
    <row r="58" spans="1:25">
      <c r="A58" s="804">
        <f t="shared" si="17"/>
        <v>2.419999999999991</v>
      </c>
      <c r="B58" s="624" t="s">
        <v>1228</v>
      </c>
      <c r="C58" s="787">
        <f t="shared" si="0"/>
        <v>448827021.61000001</v>
      </c>
      <c r="D58" s="787">
        <f t="shared" si="1"/>
        <v>537063884.38999999</v>
      </c>
      <c r="E58" s="787"/>
      <c r="F58" s="787"/>
      <c r="G58" s="787">
        <f t="shared" si="2"/>
        <v>492945453</v>
      </c>
      <c r="H58" s="787"/>
      <c r="I58" s="787">
        <f t="shared" si="3"/>
        <v>0</v>
      </c>
      <c r="J58" s="787">
        <f t="shared" si="4"/>
        <v>492945453</v>
      </c>
      <c r="K58" s="787">
        <f t="shared" si="5"/>
        <v>0</v>
      </c>
      <c r="L58" s="787">
        <f t="shared" si="6"/>
        <v>0</v>
      </c>
      <c r="M58" s="787">
        <f t="shared" si="7"/>
        <v>0</v>
      </c>
      <c r="N58" s="787"/>
      <c r="O58" s="624"/>
      <c r="P58" s="624">
        <v>448827021.61000001</v>
      </c>
      <c r="Q58" s="624"/>
      <c r="R58" s="624"/>
      <c r="S58" s="624"/>
      <c r="T58" s="787"/>
      <c r="U58" s="624"/>
      <c r="V58" s="624">
        <v>537063884.38999999</v>
      </c>
      <c r="W58" s="624"/>
      <c r="X58" s="624"/>
      <c r="Y58" s="624"/>
    </row>
    <row r="59" spans="1:25">
      <c r="A59" s="804">
        <f t="shared" si="17"/>
        <v>2.4299999999999908</v>
      </c>
      <c r="B59" s="624" t="s">
        <v>1229</v>
      </c>
      <c r="C59" s="787">
        <f t="shared" si="0"/>
        <v>-446827.13</v>
      </c>
      <c r="D59" s="787">
        <f t="shared" si="1"/>
        <v>-479921.77</v>
      </c>
      <c r="E59" s="787"/>
      <c r="F59" s="787"/>
      <c r="G59" s="787">
        <f t="shared" si="2"/>
        <v>-463374</v>
      </c>
      <c r="H59" s="787"/>
      <c r="I59" s="787">
        <f t="shared" si="3"/>
        <v>0</v>
      </c>
      <c r="J59" s="787">
        <f t="shared" si="4"/>
        <v>0</v>
      </c>
      <c r="K59" s="787">
        <f t="shared" si="5"/>
        <v>0</v>
      </c>
      <c r="L59" s="787">
        <f t="shared" si="6"/>
        <v>-463374.45</v>
      </c>
      <c r="M59" s="787">
        <f t="shared" si="7"/>
        <v>0</v>
      </c>
      <c r="N59" s="787"/>
      <c r="O59" s="624"/>
      <c r="P59" s="624"/>
      <c r="Q59" s="624"/>
      <c r="R59" s="624">
        <v>-446827.13</v>
      </c>
      <c r="S59" s="624"/>
      <c r="T59" s="787"/>
      <c r="U59" s="624"/>
      <c r="V59" s="624"/>
      <c r="W59" s="624"/>
      <c r="X59" s="624">
        <v>-479921.77</v>
      </c>
      <c r="Y59" s="624"/>
    </row>
    <row r="60" spans="1:25">
      <c r="A60" s="804">
        <f t="shared" si="17"/>
        <v>2.4399999999999906</v>
      </c>
      <c r="B60" s="624" t="s">
        <v>1230</v>
      </c>
      <c r="C60" s="787">
        <f t="shared" si="0"/>
        <v>0.22999999999999993</v>
      </c>
      <c r="D60" s="787">
        <f t="shared" si="1"/>
        <v>0.22999999999999993</v>
      </c>
      <c r="E60" s="787"/>
      <c r="F60" s="787"/>
      <c r="G60" s="787">
        <f t="shared" si="2"/>
        <v>0</v>
      </c>
      <c r="H60" s="787"/>
      <c r="I60" s="787">
        <f t="shared" si="3"/>
        <v>0.16</v>
      </c>
      <c r="J60" s="787">
        <f t="shared" si="4"/>
        <v>0.33</v>
      </c>
      <c r="K60" s="787">
        <f t="shared" si="5"/>
        <v>0.09</v>
      </c>
      <c r="L60" s="787">
        <f t="shared" si="6"/>
        <v>-0.35000000000000003</v>
      </c>
      <c r="M60" s="787">
        <f t="shared" si="7"/>
        <v>0</v>
      </c>
      <c r="N60" s="787"/>
      <c r="O60" s="624">
        <v>0.16</v>
      </c>
      <c r="P60" s="624">
        <v>0.33</v>
      </c>
      <c r="Q60" s="624">
        <v>0.09</v>
      </c>
      <c r="R60" s="624">
        <v>-0.35000000000000003</v>
      </c>
      <c r="S60" s="624"/>
      <c r="T60" s="787"/>
      <c r="U60" s="624">
        <v>0.16</v>
      </c>
      <c r="V60" s="624">
        <v>0.33</v>
      </c>
      <c r="W60" s="624">
        <v>0.09</v>
      </c>
      <c r="X60" s="624">
        <v>-0.35000000000000003</v>
      </c>
      <c r="Y60" s="624"/>
    </row>
    <row r="61" spans="1:25">
      <c r="A61" s="804">
        <f t="shared" si="17"/>
        <v>2.4499999999999904</v>
      </c>
      <c r="B61" s="624" t="s">
        <v>1231</v>
      </c>
      <c r="C61" s="787">
        <f t="shared" si="0"/>
        <v>-22200368.98</v>
      </c>
      <c r="D61" s="787">
        <f t="shared" si="1"/>
        <v>-28877157.240000002</v>
      </c>
      <c r="E61" s="787"/>
      <c r="F61" s="787"/>
      <c r="G61" s="787">
        <f t="shared" si="2"/>
        <v>-25538763</v>
      </c>
      <c r="H61" s="787"/>
      <c r="I61" s="787">
        <f t="shared" si="3"/>
        <v>-6180327.6600000001</v>
      </c>
      <c r="J61" s="787">
        <f t="shared" si="4"/>
        <v>-10410625.620000001</v>
      </c>
      <c r="K61" s="787">
        <f t="shared" si="5"/>
        <v>-1503552.31</v>
      </c>
      <c r="L61" s="787">
        <f t="shared" si="6"/>
        <v>-7444257.5199999996</v>
      </c>
      <c r="M61" s="787">
        <f t="shared" si="7"/>
        <v>0</v>
      </c>
      <c r="N61" s="787"/>
      <c r="O61" s="624">
        <v>-5881287.6799999997</v>
      </c>
      <c r="P61" s="624">
        <v>-9723133.2300000004</v>
      </c>
      <c r="Q61" s="624">
        <v>-901531.95000000007</v>
      </c>
      <c r="R61" s="624">
        <v>-5694416.1200000001</v>
      </c>
      <c r="S61" s="624"/>
      <c r="T61" s="787"/>
      <c r="U61" s="624">
        <v>-6479367.6399999997</v>
      </c>
      <c r="V61" s="624">
        <v>-11098118.01</v>
      </c>
      <c r="W61" s="624">
        <v>-2105572.67</v>
      </c>
      <c r="X61" s="624">
        <v>-9194098.9199999999</v>
      </c>
      <c r="Y61" s="624"/>
    </row>
    <row r="62" spans="1:25">
      <c r="A62" s="804">
        <f t="shared" si="17"/>
        <v>2.4599999999999902</v>
      </c>
      <c r="B62" s="624" t="s">
        <v>1232</v>
      </c>
      <c r="C62" s="787">
        <f t="shared" si="0"/>
        <v>-607140.62999999989</v>
      </c>
      <c r="D62" s="787">
        <f t="shared" si="1"/>
        <v>0</v>
      </c>
      <c r="E62" s="787"/>
      <c r="F62" s="787"/>
      <c r="G62" s="787">
        <f t="shared" si="2"/>
        <v>-303570</v>
      </c>
      <c r="H62" s="787"/>
      <c r="I62" s="787">
        <f t="shared" si="3"/>
        <v>234393.93</v>
      </c>
      <c r="J62" s="787">
        <f t="shared" si="4"/>
        <v>-586165.96499999997</v>
      </c>
      <c r="K62" s="787">
        <f t="shared" si="5"/>
        <v>-17499.3</v>
      </c>
      <c r="L62" s="787">
        <f t="shared" si="6"/>
        <v>65701.02</v>
      </c>
      <c r="M62" s="787">
        <f t="shared" si="7"/>
        <v>0</v>
      </c>
      <c r="N62" s="787"/>
      <c r="O62" s="624">
        <v>468787.86</v>
      </c>
      <c r="P62" s="624">
        <v>-1172331.93</v>
      </c>
      <c r="Q62" s="624">
        <v>-34998.6</v>
      </c>
      <c r="R62" s="624">
        <v>131402.04</v>
      </c>
      <c r="S62" s="624"/>
      <c r="T62" s="787"/>
      <c r="U62" s="624"/>
      <c r="V62" s="624"/>
      <c r="W62" s="624"/>
      <c r="X62" s="624"/>
      <c r="Y62" s="624"/>
    </row>
    <row r="63" spans="1:25">
      <c r="A63" s="804">
        <f t="shared" si="17"/>
        <v>2.46999999999999</v>
      </c>
      <c r="B63" s="624" t="s">
        <v>1233</v>
      </c>
      <c r="C63" s="787">
        <f t="shared" si="0"/>
        <v>971276.73</v>
      </c>
      <c r="D63" s="787">
        <f t="shared" si="1"/>
        <v>759646.28999999992</v>
      </c>
      <c r="E63" s="787"/>
      <c r="F63" s="787"/>
      <c r="G63" s="787">
        <f t="shared" si="2"/>
        <v>865462</v>
      </c>
      <c r="H63" s="787"/>
      <c r="I63" s="787">
        <f t="shared" si="3"/>
        <v>300445.57500000001</v>
      </c>
      <c r="J63" s="787">
        <f t="shared" si="4"/>
        <v>306967.05000000005</v>
      </c>
      <c r="K63" s="787">
        <f t="shared" si="5"/>
        <v>33314.985000000001</v>
      </c>
      <c r="L63" s="787">
        <f t="shared" si="6"/>
        <v>224733.90000000002</v>
      </c>
      <c r="M63" s="787">
        <f t="shared" si="7"/>
        <v>0</v>
      </c>
      <c r="N63" s="787"/>
      <c r="O63" s="624">
        <v>357173.4</v>
      </c>
      <c r="P63" s="624">
        <v>263934.90000000002</v>
      </c>
      <c r="Q63" s="624">
        <v>42320.1</v>
      </c>
      <c r="R63" s="624">
        <v>307848.33</v>
      </c>
      <c r="S63" s="624"/>
      <c r="T63" s="787"/>
      <c r="U63" s="624">
        <v>243717.75</v>
      </c>
      <c r="V63" s="624">
        <v>349999.2</v>
      </c>
      <c r="W63" s="624">
        <v>24309.87</v>
      </c>
      <c r="X63" s="624">
        <v>141619.47</v>
      </c>
      <c r="Y63" s="624"/>
    </row>
    <row r="64" spans="1:25">
      <c r="A64" s="804">
        <f t="shared" si="17"/>
        <v>2.4799999999999898</v>
      </c>
      <c r="B64" s="624" t="s">
        <v>1234</v>
      </c>
      <c r="C64" s="787">
        <f t="shared" si="0"/>
        <v>439681473.76999998</v>
      </c>
      <c r="D64" s="787">
        <f t="shared" si="1"/>
        <v>458257967.75</v>
      </c>
      <c r="E64" s="787"/>
      <c r="F64" s="787"/>
      <c r="G64" s="787">
        <f t="shared" si="2"/>
        <v>448969721</v>
      </c>
      <c r="H64" s="787"/>
      <c r="I64" s="787">
        <f t="shared" si="3"/>
        <v>26220016.199999999</v>
      </c>
      <c r="J64" s="787">
        <f t="shared" si="4"/>
        <v>422512276.16999996</v>
      </c>
      <c r="K64" s="787">
        <f t="shared" si="5"/>
        <v>0</v>
      </c>
      <c r="L64" s="787">
        <f t="shared" si="6"/>
        <v>237428.39</v>
      </c>
      <c r="M64" s="787">
        <f t="shared" si="7"/>
        <v>0</v>
      </c>
      <c r="N64" s="787"/>
      <c r="O64" s="624">
        <v>25258435.02</v>
      </c>
      <c r="P64" s="624">
        <v>414184917.19</v>
      </c>
      <c r="Q64" s="624"/>
      <c r="R64" s="624">
        <v>238121.56</v>
      </c>
      <c r="S64" s="624"/>
      <c r="T64" s="787"/>
      <c r="U64" s="624">
        <v>27181597.379999999</v>
      </c>
      <c r="V64" s="624">
        <v>430839635.14999998</v>
      </c>
      <c r="W64" s="624"/>
      <c r="X64" s="624">
        <v>236735.22</v>
      </c>
      <c r="Y64" s="624"/>
    </row>
    <row r="65" spans="1:25">
      <c r="A65" s="804">
        <f t="shared" si="17"/>
        <v>2.4899999999999896</v>
      </c>
      <c r="B65" s="624" t="s">
        <v>1235</v>
      </c>
      <c r="C65" s="787">
        <f t="shared" si="0"/>
        <v>7696239.96</v>
      </c>
      <c r="D65" s="787">
        <f t="shared" si="1"/>
        <v>6598944.7599999998</v>
      </c>
      <c r="E65" s="787"/>
      <c r="F65" s="787"/>
      <c r="G65" s="787">
        <f t="shared" si="2"/>
        <v>7147592</v>
      </c>
      <c r="H65" s="787"/>
      <c r="I65" s="787">
        <f t="shared" si="3"/>
        <v>858484.52500000002</v>
      </c>
      <c r="J65" s="787">
        <f t="shared" si="4"/>
        <v>112334.245</v>
      </c>
      <c r="K65" s="787">
        <f t="shared" si="5"/>
        <v>1997135.115</v>
      </c>
      <c r="L65" s="787">
        <f t="shared" si="6"/>
        <v>4179638.4749999996</v>
      </c>
      <c r="M65" s="787">
        <f t="shared" si="7"/>
        <v>0</v>
      </c>
      <c r="N65" s="787"/>
      <c r="O65" s="624">
        <v>946447.14</v>
      </c>
      <c r="P65" s="624">
        <v>118247.96</v>
      </c>
      <c r="Q65" s="624">
        <v>2208112.6400000001</v>
      </c>
      <c r="R65" s="624">
        <v>4423432.22</v>
      </c>
      <c r="S65" s="624"/>
      <c r="T65" s="787"/>
      <c r="U65" s="624">
        <v>770521.91</v>
      </c>
      <c r="V65" s="624">
        <v>106420.53</v>
      </c>
      <c r="W65" s="624">
        <v>1786157.5899999999</v>
      </c>
      <c r="X65" s="624">
        <v>3935844.73</v>
      </c>
      <c r="Y65" s="624"/>
    </row>
    <row r="66" spans="1:25">
      <c r="A66" s="804">
        <f t="shared" si="17"/>
        <v>2.4999999999999893</v>
      </c>
      <c r="B66" s="624" t="s">
        <v>1428</v>
      </c>
      <c r="C66" s="787">
        <f t="shared" ref="C66" si="26">SUM(O66:S66)</f>
        <v>0</v>
      </c>
      <c r="D66" s="787">
        <f t="shared" ref="D66" si="27">SUM(U66:Y66)</f>
        <v>55421.99</v>
      </c>
      <c r="E66" s="787"/>
      <c r="F66" s="787"/>
      <c r="G66" s="787">
        <f t="shared" ref="G66" si="28">ROUND(SUM(C66:F66)/2,0)</f>
        <v>27711</v>
      </c>
      <c r="H66" s="787"/>
      <c r="I66" s="787">
        <f t="shared" ref="I66" si="29">(O66+U66)/2</f>
        <v>0</v>
      </c>
      <c r="J66" s="787">
        <f t="shared" ref="J66" si="30">(P66+V66)/2</f>
        <v>0</v>
      </c>
      <c r="K66" s="787">
        <f t="shared" ref="K66" si="31">(Q66+W66)/2</f>
        <v>0</v>
      </c>
      <c r="L66" s="787">
        <f t="shared" ref="L66" si="32">(R66+X66)/2</f>
        <v>27710.994999999999</v>
      </c>
      <c r="M66" s="787">
        <f t="shared" ref="M66" si="33">(S66+Y66)/2</f>
        <v>0</v>
      </c>
      <c r="N66" s="787"/>
      <c r="O66" s="624"/>
      <c r="P66" s="624"/>
      <c r="Q66" s="624"/>
      <c r="R66" s="624"/>
      <c r="S66" s="624"/>
      <c r="T66" s="787"/>
      <c r="U66" s="624"/>
      <c r="V66" s="624"/>
      <c r="W66" s="624"/>
      <c r="X66" s="624">
        <v>55421.99</v>
      </c>
      <c r="Y66" s="624"/>
    </row>
    <row r="67" spans="1:25">
      <c r="A67" s="804">
        <f t="shared" si="17"/>
        <v>2.5099999999999891</v>
      </c>
      <c r="B67" s="624" t="s">
        <v>1236</v>
      </c>
      <c r="C67" s="787">
        <f t="shared" si="0"/>
        <v>0.03</v>
      </c>
      <c r="D67" s="787">
        <f t="shared" si="1"/>
        <v>0.03</v>
      </c>
      <c r="E67" s="787"/>
      <c r="F67" s="787"/>
      <c r="G67" s="787">
        <f t="shared" si="2"/>
        <v>0</v>
      </c>
      <c r="H67" s="787"/>
      <c r="I67" s="787">
        <f t="shared" si="3"/>
        <v>0.03</v>
      </c>
      <c r="J67" s="787">
        <f t="shared" si="4"/>
        <v>0</v>
      </c>
      <c r="K67" s="787">
        <f t="shared" si="5"/>
        <v>0</v>
      </c>
      <c r="L67" s="787">
        <f t="shared" si="6"/>
        <v>0</v>
      </c>
      <c r="M67" s="787">
        <f t="shared" si="7"/>
        <v>0</v>
      </c>
      <c r="N67" s="787"/>
      <c r="O67" s="624">
        <v>0.03</v>
      </c>
      <c r="P67" s="624"/>
      <c r="Q67" s="624"/>
      <c r="R67" s="624"/>
      <c r="S67" s="624"/>
      <c r="T67" s="787"/>
      <c r="U67" s="624">
        <v>0.03</v>
      </c>
      <c r="V67" s="624"/>
      <c r="W67" s="624"/>
      <c r="X67" s="624"/>
      <c r="Y67" s="624"/>
    </row>
    <row r="68" spans="1:25">
      <c r="A68" s="804">
        <f t="shared" si="17"/>
        <v>2.5199999999999889</v>
      </c>
      <c r="B68" s="624" t="s">
        <v>1237</v>
      </c>
      <c r="C68" s="787">
        <f t="shared" si="0"/>
        <v>-0.18000000000000002</v>
      </c>
      <c r="D68" s="787">
        <f t="shared" si="1"/>
        <v>-0.18000000000000002</v>
      </c>
      <c r="E68" s="787"/>
      <c r="F68" s="787"/>
      <c r="G68" s="787">
        <f t="shared" si="2"/>
        <v>0</v>
      </c>
      <c r="H68" s="787"/>
      <c r="I68" s="787">
        <f t="shared" si="3"/>
        <v>-7.0000000000000007E-2</v>
      </c>
      <c r="J68" s="787">
        <f t="shared" si="4"/>
        <v>-0.04</v>
      </c>
      <c r="K68" s="787">
        <f t="shared" si="5"/>
        <v>-7.0000000000000007E-2</v>
      </c>
      <c r="L68" s="787">
        <f t="shared" si="6"/>
        <v>0</v>
      </c>
      <c r="M68" s="787">
        <f t="shared" si="7"/>
        <v>0</v>
      </c>
      <c r="N68" s="787"/>
      <c r="O68" s="624">
        <v>-7.0000000000000007E-2</v>
      </c>
      <c r="P68" s="624">
        <v>-0.04</v>
      </c>
      <c r="Q68" s="624">
        <v>-7.0000000000000007E-2</v>
      </c>
      <c r="R68" s="624"/>
      <c r="S68" s="624"/>
      <c r="T68" s="787"/>
      <c r="U68" s="624">
        <v>-7.0000000000000007E-2</v>
      </c>
      <c r="V68" s="624">
        <v>-0.04</v>
      </c>
      <c r="W68" s="624">
        <v>-7.0000000000000007E-2</v>
      </c>
      <c r="X68" s="624"/>
      <c r="Y68" s="624"/>
    </row>
    <row r="69" spans="1:25">
      <c r="A69" s="804">
        <f t="shared" si="17"/>
        <v>2.5299999999999887</v>
      </c>
      <c r="B69" s="624" t="s">
        <v>1425</v>
      </c>
      <c r="C69" s="787">
        <f t="shared" ref="C69:C70" si="34">SUM(O69:S69)</f>
        <v>0</v>
      </c>
      <c r="D69" s="787">
        <f t="shared" ref="D69:D70" si="35">SUM(U69:Y69)</f>
        <v>-786537.55</v>
      </c>
      <c r="E69" s="787"/>
      <c r="F69" s="787"/>
      <c r="G69" s="787">
        <f t="shared" ref="G69:G70" si="36">ROUND(SUM(C69:F69)/2,0)</f>
        <v>-393269</v>
      </c>
      <c r="H69" s="787"/>
      <c r="I69" s="787">
        <f t="shared" ref="I69:I70" si="37">(O69+U69)/2</f>
        <v>-8595.1350000000002</v>
      </c>
      <c r="J69" s="787">
        <f t="shared" ref="J69:J70" si="38">(P69+V69)/2</f>
        <v>-71232.23</v>
      </c>
      <c r="K69" s="787">
        <f t="shared" ref="K69:K70" si="39">(Q69+W69)/2</f>
        <v>-69380.005000000005</v>
      </c>
      <c r="L69" s="787">
        <f t="shared" ref="L69:L70" si="40">(R69+X69)/2</f>
        <v>-244061.405</v>
      </c>
      <c r="M69" s="787">
        <f t="shared" ref="M69:M70" si="41">(S69+Y69)/2</f>
        <v>0</v>
      </c>
      <c r="N69" s="787"/>
      <c r="O69" s="624"/>
      <c r="P69" s="624"/>
      <c r="Q69" s="624"/>
      <c r="R69" s="624"/>
      <c r="S69" s="624"/>
      <c r="T69" s="787"/>
      <c r="U69" s="624">
        <v>-17190.27</v>
      </c>
      <c r="V69" s="624">
        <v>-142464.46</v>
      </c>
      <c r="W69" s="624">
        <v>-138760.01</v>
      </c>
      <c r="X69" s="624">
        <v>-488122.81</v>
      </c>
      <c r="Y69" s="624"/>
    </row>
    <row r="70" spans="1:25">
      <c r="A70" s="804">
        <f t="shared" si="17"/>
        <v>2.5399999999999885</v>
      </c>
      <c r="B70" s="624" t="s">
        <v>1426</v>
      </c>
      <c r="C70" s="787">
        <f t="shared" si="34"/>
        <v>0</v>
      </c>
      <c r="D70" s="787">
        <f t="shared" si="35"/>
        <v>-39583.81</v>
      </c>
      <c r="E70" s="787"/>
      <c r="F70" s="787"/>
      <c r="G70" s="787">
        <f t="shared" si="36"/>
        <v>-19792</v>
      </c>
      <c r="H70" s="787"/>
      <c r="I70" s="787">
        <f t="shared" si="37"/>
        <v>-578.85500000000002</v>
      </c>
      <c r="J70" s="787">
        <f t="shared" si="38"/>
        <v>-3830.2249999999999</v>
      </c>
      <c r="K70" s="787">
        <f t="shared" si="39"/>
        <v>-2952.3</v>
      </c>
      <c r="L70" s="787">
        <f t="shared" si="40"/>
        <v>-12430.525</v>
      </c>
      <c r="M70" s="787">
        <f t="shared" si="41"/>
        <v>0</v>
      </c>
      <c r="N70" s="787"/>
      <c r="O70" s="624"/>
      <c r="P70" s="624"/>
      <c r="Q70" s="624"/>
      <c r="R70" s="624"/>
      <c r="S70" s="624"/>
      <c r="T70" s="787"/>
      <c r="U70" s="624">
        <v>-1157.71</v>
      </c>
      <c r="V70" s="624">
        <v>-7660.45</v>
      </c>
      <c r="W70" s="624">
        <v>-5904.6</v>
      </c>
      <c r="X70" s="624">
        <v>-24861.05</v>
      </c>
      <c r="Y70" s="624"/>
    </row>
    <row r="71" spans="1:25">
      <c r="A71" s="804">
        <f t="shared" si="17"/>
        <v>2.5499999999999883</v>
      </c>
      <c r="B71" s="624" t="s">
        <v>1238</v>
      </c>
      <c r="C71" s="787">
        <f t="shared" si="0"/>
        <v>2245215.1800000002</v>
      </c>
      <c r="D71" s="787">
        <f t="shared" si="1"/>
        <v>2189429.0999999996</v>
      </c>
      <c r="E71" s="787"/>
      <c r="F71" s="787"/>
      <c r="G71" s="787">
        <f t="shared" si="2"/>
        <v>2217322</v>
      </c>
      <c r="H71" s="787"/>
      <c r="I71" s="787">
        <f t="shared" si="3"/>
        <v>83587.615000000005</v>
      </c>
      <c r="J71" s="787">
        <f t="shared" si="4"/>
        <v>0</v>
      </c>
      <c r="K71" s="787">
        <f t="shared" si="5"/>
        <v>670116.24</v>
      </c>
      <c r="L71" s="787">
        <f t="shared" si="6"/>
        <v>1463618.2849999999</v>
      </c>
      <c r="M71" s="787">
        <f t="shared" si="7"/>
        <v>0</v>
      </c>
      <c r="N71" s="787"/>
      <c r="O71" s="624">
        <v>115290.79000000001</v>
      </c>
      <c r="P71" s="624"/>
      <c r="Q71" s="624">
        <v>664039.68000000005</v>
      </c>
      <c r="R71" s="624">
        <v>1465884.71</v>
      </c>
      <c r="S71" s="624"/>
      <c r="T71" s="787"/>
      <c r="U71" s="624">
        <v>51884.44</v>
      </c>
      <c r="V71" s="624"/>
      <c r="W71" s="624">
        <v>676192.8</v>
      </c>
      <c r="X71" s="624">
        <v>1461351.8599999999</v>
      </c>
      <c r="Y71" s="624"/>
    </row>
    <row r="72" spans="1:25">
      <c r="A72" s="804">
        <f t="shared" si="17"/>
        <v>2.5599999999999881</v>
      </c>
      <c r="B72" s="624" t="s">
        <v>1239</v>
      </c>
      <c r="C72" s="787">
        <f t="shared" si="0"/>
        <v>-1941531.06</v>
      </c>
      <c r="D72" s="787">
        <f t="shared" si="1"/>
        <v>-1941531.06</v>
      </c>
      <c r="E72" s="787"/>
      <c r="F72" s="787"/>
      <c r="G72" s="787">
        <f t="shared" si="2"/>
        <v>-1941531</v>
      </c>
      <c r="H72" s="787"/>
      <c r="I72" s="787">
        <f t="shared" si="3"/>
        <v>-1941531.06</v>
      </c>
      <c r="J72" s="787">
        <f t="shared" si="4"/>
        <v>0</v>
      </c>
      <c r="K72" s="787">
        <f t="shared" si="5"/>
        <v>0</v>
      </c>
      <c r="L72" s="787">
        <f t="shared" si="6"/>
        <v>0</v>
      </c>
      <c r="M72" s="787">
        <f t="shared" si="7"/>
        <v>0</v>
      </c>
      <c r="N72" s="787"/>
      <c r="O72" s="624">
        <v>-1941531.06</v>
      </c>
      <c r="P72" s="624"/>
      <c r="Q72" s="624"/>
      <c r="R72" s="624"/>
      <c r="S72" s="624"/>
      <c r="T72" s="787"/>
      <c r="U72" s="624">
        <v>-1941531.06</v>
      </c>
      <c r="V72" s="624"/>
      <c r="W72" s="624"/>
      <c r="X72" s="624"/>
      <c r="Y72" s="624"/>
    </row>
    <row r="73" spans="1:25">
      <c r="A73" s="804">
        <f t="shared" si="17"/>
        <v>2.5699999999999878</v>
      </c>
      <c r="B73" s="624" t="s">
        <v>1240</v>
      </c>
      <c r="C73" s="787">
        <f t="shared" si="0"/>
        <v>1072633.8899999999</v>
      </c>
      <c r="D73" s="787">
        <f t="shared" si="1"/>
        <v>1096813.07</v>
      </c>
      <c r="E73" s="787"/>
      <c r="F73" s="787"/>
      <c r="G73" s="787">
        <f t="shared" si="2"/>
        <v>1084723</v>
      </c>
      <c r="H73" s="787"/>
      <c r="I73" s="787">
        <f t="shared" si="3"/>
        <v>8767.7849999999999</v>
      </c>
      <c r="J73" s="787">
        <f t="shared" si="4"/>
        <v>814497.59000000008</v>
      </c>
      <c r="K73" s="787">
        <f t="shared" si="5"/>
        <v>3959.5550000000003</v>
      </c>
      <c r="L73" s="787">
        <f t="shared" si="6"/>
        <v>257498.55</v>
      </c>
      <c r="M73" s="787">
        <f t="shared" si="7"/>
        <v>0</v>
      </c>
      <c r="N73" s="787"/>
      <c r="O73" s="624">
        <v>8780.61</v>
      </c>
      <c r="P73" s="624">
        <v>802354.52</v>
      </c>
      <c r="Q73" s="624">
        <v>4660.3500000000004</v>
      </c>
      <c r="R73" s="624">
        <v>256838.41</v>
      </c>
      <c r="S73" s="624"/>
      <c r="T73" s="787"/>
      <c r="U73" s="624">
        <v>8754.9600000000009</v>
      </c>
      <c r="V73" s="624">
        <v>826640.66</v>
      </c>
      <c r="W73" s="624">
        <v>3258.76</v>
      </c>
      <c r="X73" s="624">
        <v>258158.69</v>
      </c>
      <c r="Y73" s="624"/>
    </row>
    <row r="74" spans="1:25">
      <c r="A74" s="804">
        <f t="shared" si="17"/>
        <v>2.5799999999999876</v>
      </c>
      <c r="B74" s="624" t="s">
        <v>1241</v>
      </c>
      <c r="C74" s="787">
        <f t="shared" si="0"/>
        <v>-23348.010000000002</v>
      </c>
      <c r="D74" s="787">
        <f t="shared" si="1"/>
        <v>-23348.010000000002</v>
      </c>
      <c r="E74" s="787"/>
      <c r="F74" s="787"/>
      <c r="G74" s="787">
        <f t="shared" si="2"/>
        <v>-23348</v>
      </c>
      <c r="H74" s="787"/>
      <c r="I74" s="787">
        <f t="shared" si="3"/>
        <v>-23348.010000000002</v>
      </c>
      <c r="J74" s="787">
        <f t="shared" si="4"/>
        <v>0</v>
      </c>
      <c r="K74" s="787">
        <f t="shared" si="5"/>
        <v>0</v>
      </c>
      <c r="L74" s="787">
        <f t="shared" si="6"/>
        <v>0</v>
      </c>
      <c r="M74" s="787">
        <f t="shared" si="7"/>
        <v>0</v>
      </c>
      <c r="N74" s="787"/>
      <c r="O74" s="624">
        <v>-23348.010000000002</v>
      </c>
      <c r="P74" s="624"/>
      <c r="Q74" s="624"/>
      <c r="R74" s="624"/>
      <c r="S74" s="624"/>
      <c r="T74" s="787"/>
      <c r="U74" s="624">
        <v>-23348.010000000002</v>
      </c>
      <c r="V74" s="624"/>
      <c r="W74" s="624"/>
      <c r="X74" s="624"/>
      <c r="Y74" s="624"/>
    </row>
    <row r="75" spans="1:25">
      <c r="A75" s="804">
        <f t="shared" si="17"/>
        <v>2.5899999999999874</v>
      </c>
      <c r="B75" s="624" t="s">
        <v>1242</v>
      </c>
      <c r="C75" s="787">
        <f t="shared" si="0"/>
        <v>-0.42</v>
      </c>
      <c r="D75" s="787">
        <f t="shared" si="1"/>
        <v>-0.42</v>
      </c>
      <c r="E75" s="787"/>
      <c r="F75" s="787"/>
      <c r="G75" s="787">
        <f t="shared" si="2"/>
        <v>0</v>
      </c>
      <c r="H75" s="787"/>
      <c r="I75" s="787">
        <f t="shared" si="3"/>
        <v>-0.42</v>
      </c>
      <c r="J75" s="787">
        <f t="shared" si="4"/>
        <v>0</v>
      </c>
      <c r="K75" s="787">
        <f t="shared" si="5"/>
        <v>0</v>
      </c>
      <c r="L75" s="787">
        <f t="shared" si="6"/>
        <v>0</v>
      </c>
      <c r="M75" s="787">
        <f t="shared" si="7"/>
        <v>0</v>
      </c>
      <c r="N75" s="787"/>
      <c r="O75" s="624">
        <v>-0.42</v>
      </c>
      <c r="P75" s="624"/>
      <c r="Q75" s="624"/>
      <c r="R75" s="624"/>
      <c r="S75" s="624"/>
      <c r="T75" s="787"/>
      <c r="U75" s="624">
        <v>-0.42</v>
      </c>
      <c r="V75" s="624"/>
      <c r="W75" s="624"/>
      <c r="X75" s="624"/>
      <c r="Y75" s="624"/>
    </row>
    <row r="76" spans="1:25">
      <c r="A76" s="804">
        <f t="shared" si="17"/>
        <v>2.5999999999999872</v>
      </c>
      <c r="B76" s="624" t="s">
        <v>1243</v>
      </c>
      <c r="C76" s="787">
        <f t="shared" si="0"/>
        <v>-160272.41</v>
      </c>
      <c r="D76" s="787">
        <f t="shared" si="1"/>
        <v>-20028.57</v>
      </c>
      <c r="E76" s="787"/>
      <c r="F76" s="787"/>
      <c r="G76" s="787">
        <f t="shared" si="2"/>
        <v>-90150</v>
      </c>
      <c r="H76" s="787"/>
      <c r="I76" s="787">
        <f t="shared" si="3"/>
        <v>0</v>
      </c>
      <c r="J76" s="787">
        <f t="shared" si="4"/>
        <v>0</v>
      </c>
      <c r="K76" s="787">
        <f t="shared" si="5"/>
        <v>0</v>
      </c>
      <c r="L76" s="787">
        <f t="shared" si="6"/>
        <v>-90150.49</v>
      </c>
      <c r="M76" s="787">
        <f t="shared" si="7"/>
        <v>0</v>
      </c>
      <c r="N76" s="787"/>
      <c r="O76" s="624"/>
      <c r="P76" s="624"/>
      <c r="Q76" s="624"/>
      <c r="R76" s="624">
        <v>-160272.41</v>
      </c>
      <c r="S76" s="624"/>
      <c r="T76" s="787"/>
      <c r="U76" s="624"/>
      <c r="V76" s="624"/>
      <c r="W76" s="624"/>
      <c r="X76" s="624">
        <v>-20028.57</v>
      </c>
      <c r="Y76" s="624"/>
    </row>
    <row r="77" spans="1:25">
      <c r="A77" s="804">
        <f t="shared" si="17"/>
        <v>2.609999999999987</v>
      </c>
      <c r="B77" s="624" t="s">
        <v>1244</v>
      </c>
      <c r="C77" s="787">
        <f t="shared" si="0"/>
        <v>3800879.99</v>
      </c>
      <c r="D77" s="787">
        <f t="shared" si="1"/>
        <v>3974304.16</v>
      </c>
      <c r="E77" s="787"/>
      <c r="F77" s="787"/>
      <c r="G77" s="787">
        <f t="shared" si="2"/>
        <v>3887592</v>
      </c>
      <c r="H77" s="787"/>
      <c r="I77" s="787">
        <f t="shared" si="3"/>
        <v>0</v>
      </c>
      <c r="J77" s="787">
        <f t="shared" si="4"/>
        <v>3887592.0750000002</v>
      </c>
      <c r="K77" s="787">
        <f t="shared" si="5"/>
        <v>0</v>
      </c>
      <c r="L77" s="787">
        <f t="shared" si="6"/>
        <v>0</v>
      </c>
      <c r="M77" s="787">
        <f t="shared" si="7"/>
        <v>0</v>
      </c>
      <c r="N77" s="787"/>
      <c r="O77" s="624"/>
      <c r="P77" s="624">
        <v>3800879.99</v>
      </c>
      <c r="Q77" s="624"/>
      <c r="R77" s="624"/>
      <c r="S77" s="624"/>
      <c r="T77" s="787"/>
      <c r="U77" s="624"/>
      <c r="V77" s="624">
        <v>3974304.16</v>
      </c>
      <c r="W77" s="624"/>
      <c r="X77" s="624"/>
      <c r="Y77" s="624"/>
    </row>
    <row r="78" spans="1:25">
      <c r="A78" s="804">
        <f t="shared" si="17"/>
        <v>2.6199999999999868</v>
      </c>
      <c r="B78" s="624" t="s">
        <v>1245</v>
      </c>
      <c r="C78" s="787">
        <f t="shared" si="0"/>
        <v>20384683.039999999</v>
      </c>
      <c r="D78" s="787">
        <f t="shared" si="1"/>
        <v>21466990.48</v>
      </c>
      <c r="E78" s="787"/>
      <c r="F78" s="787"/>
      <c r="G78" s="787">
        <f t="shared" si="2"/>
        <v>20925837</v>
      </c>
      <c r="H78" s="787"/>
      <c r="I78" s="787">
        <f t="shared" si="3"/>
        <v>0</v>
      </c>
      <c r="J78" s="787">
        <f t="shared" si="4"/>
        <v>20925836.759999998</v>
      </c>
      <c r="K78" s="787">
        <f t="shared" si="5"/>
        <v>0</v>
      </c>
      <c r="L78" s="787">
        <f t="shared" si="6"/>
        <v>0</v>
      </c>
      <c r="M78" s="787">
        <f t="shared" si="7"/>
        <v>0</v>
      </c>
      <c r="N78" s="787"/>
      <c r="O78" s="624"/>
      <c r="P78" s="624">
        <v>20384683.039999999</v>
      </c>
      <c r="Q78" s="624"/>
      <c r="R78" s="624"/>
      <c r="S78" s="624"/>
      <c r="T78" s="787"/>
      <c r="U78" s="624"/>
      <c r="V78" s="624">
        <v>21466990.48</v>
      </c>
      <c r="W78" s="624"/>
      <c r="X78" s="624"/>
      <c r="Y78" s="624"/>
    </row>
    <row r="79" spans="1:25">
      <c r="A79" s="804">
        <f t="shared" si="17"/>
        <v>2.6299999999999866</v>
      </c>
      <c r="B79" s="624" t="s">
        <v>1246</v>
      </c>
      <c r="C79" s="787">
        <f t="shared" si="0"/>
        <v>3856367.51</v>
      </c>
      <c r="D79" s="787">
        <f t="shared" si="1"/>
        <v>4038487.9</v>
      </c>
      <c r="E79" s="787"/>
      <c r="F79" s="787"/>
      <c r="G79" s="787">
        <f t="shared" si="2"/>
        <v>3947428</v>
      </c>
      <c r="H79" s="787"/>
      <c r="I79" s="787">
        <f t="shared" si="3"/>
        <v>0</v>
      </c>
      <c r="J79" s="787">
        <f t="shared" si="4"/>
        <v>3947427.7050000001</v>
      </c>
      <c r="K79" s="787">
        <f t="shared" si="5"/>
        <v>0</v>
      </c>
      <c r="L79" s="787">
        <f t="shared" si="6"/>
        <v>0</v>
      </c>
      <c r="M79" s="787">
        <f t="shared" si="7"/>
        <v>0</v>
      </c>
      <c r="N79" s="787"/>
      <c r="O79" s="624"/>
      <c r="P79" s="624">
        <v>3856367.51</v>
      </c>
      <c r="Q79" s="624"/>
      <c r="R79" s="624"/>
      <c r="S79" s="624"/>
      <c r="T79" s="787"/>
      <c r="U79" s="624"/>
      <c r="V79" s="624">
        <v>4038487.9</v>
      </c>
      <c r="W79" s="624"/>
      <c r="X79" s="624"/>
      <c r="Y79" s="624"/>
    </row>
    <row r="80" spans="1:25">
      <c r="A80" s="804">
        <f t="shared" si="17"/>
        <v>2.6399999999999864</v>
      </c>
      <c r="B80" s="624" t="s">
        <v>1247</v>
      </c>
      <c r="C80" s="787">
        <f t="shared" si="0"/>
        <v>-14680621.800000001</v>
      </c>
      <c r="D80" s="787">
        <f t="shared" si="1"/>
        <v>-14680621.800000001</v>
      </c>
      <c r="E80" s="787"/>
      <c r="F80" s="787"/>
      <c r="G80" s="787">
        <f t="shared" si="2"/>
        <v>-14680622</v>
      </c>
      <c r="H80" s="787"/>
      <c r="I80" s="787">
        <f t="shared" si="3"/>
        <v>0</v>
      </c>
      <c r="J80" s="787">
        <f t="shared" si="4"/>
        <v>-14680621.800000001</v>
      </c>
      <c r="K80" s="787">
        <f t="shared" si="5"/>
        <v>0</v>
      </c>
      <c r="L80" s="787">
        <f t="shared" si="6"/>
        <v>0</v>
      </c>
      <c r="M80" s="787">
        <f t="shared" si="7"/>
        <v>0</v>
      </c>
      <c r="N80" s="787"/>
      <c r="O80" s="624"/>
      <c r="P80" s="624">
        <v>-14680621.800000001</v>
      </c>
      <c r="Q80" s="624"/>
      <c r="R80" s="624"/>
      <c r="S80" s="624"/>
      <c r="T80" s="787"/>
      <c r="U80" s="624"/>
      <c r="V80" s="624">
        <v>-14680621.800000001</v>
      </c>
      <c r="W80" s="624"/>
      <c r="X80" s="624"/>
      <c r="Y80" s="624"/>
    </row>
    <row r="81" spans="1:25">
      <c r="A81" s="804">
        <f t="shared" si="17"/>
        <v>2.6499999999999861</v>
      </c>
      <c r="B81" s="624" t="s">
        <v>1248</v>
      </c>
      <c r="C81" s="787">
        <f t="shared" si="0"/>
        <v>7031050.7800000003</v>
      </c>
      <c r="D81" s="787">
        <f t="shared" si="1"/>
        <v>7324019.2699999996</v>
      </c>
      <c r="E81" s="787"/>
      <c r="F81" s="787"/>
      <c r="G81" s="787">
        <f t="shared" si="2"/>
        <v>7177535</v>
      </c>
      <c r="H81" s="787"/>
      <c r="I81" s="787">
        <f t="shared" si="3"/>
        <v>0</v>
      </c>
      <c r="J81" s="787">
        <f t="shared" si="4"/>
        <v>7177535.0250000004</v>
      </c>
      <c r="K81" s="787">
        <f t="shared" si="5"/>
        <v>0</v>
      </c>
      <c r="L81" s="787">
        <f t="shared" si="6"/>
        <v>0</v>
      </c>
      <c r="M81" s="787">
        <f t="shared" si="7"/>
        <v>0</v>
      </c>
      <c r="N81" s="787"/>
      <c r="O81" s="624"/>
      <c r="P81" s="624">
        <v>7031050.7800000003</v>
      </c>
      <c r="Q81" s="624"/>
      <c r="R81" s="624"/>
      <c r="S81" s="624"/>
      <c r="T81" s="787"/>
      <c r="U81" s="624"/>
      <c r="V81" s="624">
        <v>7324019.2699999996</v>
      </c>
      <c r="W81" s="624"/>
      <c r="X81" s="624"/>
      <c r="Y81" s="624"/>
    </row>
    <row r="82" spans="1:25">
      <c r="A82" s="804">
        <f t="shared" si="17"/>
        <v>2.6599999999999859</v>
      </c>
      <c r="B82" s="624" t="s">
        <v>1249</v>
      </c>
      <c r="C82" s="787">
        <f t="shared" si="0"/>
        <v>33752357.340000004</v>
      </c>
      <c r="D82" s="787">
        <f t="shared" si="1"/>
        <v>35172829.240000002</v>
      </c>
      <c r="E82" s="787"/>
      <c r="F82" s="787"/>
      <c r="G82" s="787">
        <f t="shared" si="2"/>
        <v>34462593</v>
      </c>
      <c r="H82" s="787"/>
      <c r="I82" s="787">
        <f t="shared" si="3"/>
        <v>0</v>
      </c>
      <c r="J82" s="787">
        <f t="shared" si="4"/>
        <v>34462593.290000007</v>
      </c>
      <c r="K82" s="787">
        <f t="shared" si="5"/>
        <v>0</v>
      </c>
      <c r="L82" s="787">
        <f t="shared" si="6"/>
        <v>0</v>
      </c>
      <c r="M82" s="787">
        <f t="shared" si="7"/>
        <v>0</v>
      </c>
      <c r="N82" s="787"/>
      <c r="O82" s="624"/>
      <c r="P82" s="624">
        <v>33752357.340000004</v>
      </c>
      <c r="Q82" s="624"/>
      <c r="R82" s="624"/>
      <c r="S82" s="624"/>
      <c r="T82" s="787"/>
      <c r="U82" s="624"/>
      <c r="V82" s="624">
        <v>35172829.240000002</v>
      </c>
      <c r="W82" s="624"/>
      <c r="X82" s="624"/>
      <c r="Y82" s="624"/>
    </row>
    <row r="83" spans="1:25">
      <c r="A83" s="804">
        <f t="shared" si="17"/>
        <v>2.6699999999999857</v>
      </c>
      <c r="B83" s="624" t="s">
        <v>1250</v>
      </c>
      <c r="C83" s="787">
        <f t="shared" si="0"/>
        <v>7396516.0800000001</v>
      </c>
      <c r="D83" s="787">
        <f t="shared" si="1"/>
        <v>7716946.4000000004</v>
      </c>
      <c r="E83" s="787"/>
      <c r="F83" s="787"/>
      <c r="G83" s="787">
        <f t="shared" si="2"/>
        <v>7556731</v>
      </c>
      <c r="H83" s="787"/>
      <c r="I83" s="787">
        <f t="shared" si="3"/>
        <v>0</v>
      </c>
      <c r="J83" s="787">
        <f t="shared" si="4"/>
        <v>7556731.2400000002</v>
      </c>
      <c r="K83" s="787">
        <f t="shared" si="5"/>
        <v>0</v>
      </c>
      <c r="L83" s="787">
        <f t="shared" si="6"/>
        <v>0</v>
      </c>
      <c r="M83" s="787">
        <f t="shared" si="7"/>
        <v>0</v>
      </c>
      <c r="N83" s="787"/>
      <c r="O83" s="624"/>
      <c r="P83" s="624">
        <v>7396516.0800000001</v>
      </c>
      <c r="Q83" s="624"/>
      <c r="R83" s="624"/>
      <c r="S83" s="624"/>
      <c r="T83" s="787"/>
      <c r="U83" s="624"/>
      <c r="V83" s="624">
        <v>7716946.4000000004</v>
      </c>
      <c r="W83" s="624"/>
      <c r="X83" s="624"/>
      <c r="Y83" s="624"/>
    </row>
    <row r="84" spans="1:25">
      <c r="A84" s="804">
        <f t="shared" si="17"/>
        <v>2.6799999999999855</v>
      </c>
      <c r="B84" s="624" t="s">
        <v>1251</v>
      </c>
      <c r="C84" s="787">
        <f t="shared" si="0"/>
        <v>-51740255.25</v>
      </c>
      <c r="D84" s="787">
        <f t="shared" si="1"/>
        <v>-54597631.670000002</v>
      </c>
      <c r="E84" s="787"/>
      <c r="F84" s="787"/>
      <c r="G84" s="787">
        <f t="shared" si="2"/>
        <v>-53168943</v>
      </c>
      <c r="H84" s="787"/>
      <c r="I84" s="787">
        <f t="shared" si="3"/>
        <v>0</v>
      </c>
      <c r="J84" s="787">
        <f t="shared" si="4"/>
        <v>-53168943.460000001</v>
      </c>
      <c r="K84" s="787">
        <f t="shared" si="5"/>
        <v>0</v>
      </c>
      <c r="L84" s="787">
        <f t="shared" si="6"/>
        <v>0</v>
      </c>
      <c r="M84" s="787">
        <f t="shared" si="7"/>
        <v>0</v>
      </c>
      <c r="N84" s="787"/>
      <c r="O84" s="624"/>
      <c r="P84" s="624">
        <v>-51740255.25</v>
      </c>
      <c r="Q84" s="624"/>
      <c r="R84" s="624"/>
      <c r="S84" s="624"/>
      <c r="T84" s="787"/>
      <c r="U84" s="624"/>
      <c r="V84" s="624">
        <v>-54597631.670000002</v>
      </c>
      <c r="W84" s="624"/>
      <c r="X84" s="624"/>
      <c r="Y84" s="624"/>
    </row>
    <row r="85" spans="1:25">
      <c r="A85" s="804">
        <f t="shared" si="17"/>
        <v>2.6899999999999853</v>
      </c>
      <c r="B85" s="624" t="s">
        <v>1252</v>
      </c>
      <c r="C85" s="787">
        <f t="shared" si="0"/>
        <v>-10909400.33</v>
      </c>
      <c r="D85" s="787">
        <f t="shared" si="1"/>
        <v>-101711.44</v>
      </c>
      <c r="E85" s="787"/>
      <c r="F85" s="787"/>
      <c r="G85" s="787">
        <f t="shared" si="2"/>
        <v>-5505556</v>
      </c>
      <c r="H85" s="787"/>
      <c r="I85" s="787">
        <f t="shared" si="3"/>
        <v>0</v>
      </c>
      <c r="J85" s="787">
        <f t="shared" si="4"/>
        <v>-5505555.8849999998</v>
      </c>
      <c r="K85" s="787">
        <f t="shared" si="5"/>
        <v>0</v>
      </c>
      <c r="L85" s="787">
        <f t="shared" si="6"/>
        <v>0</v>
      </c>
      <c r="M85" s="787">
        <f t="shared" si="7"/>
        <v>0</v>
      </c>
      <c r="N85" s="787"/>
      <c r="O85" s="624"/>
      <c r="P85" s="624">
        <v>-10909400.33</v>
      </c>
      <c r="Q85" s="624"/>
      <c r="R85" s="624"/>
      <c r="S85" s="624"/>
      <c r="T85" s="787"/>
      <c r="U85" s="624"/>
      <c r="V85" s="624">
        <v>-101711.44</v>
      </c>
      <c r="W85" s="624"/>
      <c r="X85" s="624"/>
      <c r="Y85" s="624"/>
    </row>
    <row r="86" spans="1:25">
      <c r="A86" s="804">
        <f t="shared" si="17"/>
        <v>2.6999999999999851</v>
      </c>
      <c r="B86" s="624" t="s">
        <v>1253</v>
      </c>
      <c r="C86" s="787">
        <f t="shared" si="0"/>
        <v>-7756715.2199999997</v>
      </c>
      <c r="D86" s="787">
        <f t="shared" si="1"/>
        <v>0</v>
      </c>
      <c r="E86" s="787"/>
      <c r="F86" s="787"/>
      <c r="G86" s="787">
        <f t="shared" si="2"/>
        <v>-3878358</v>
      </c>
      <c r="H86" s="787"/>
      <c r="I86" s="787">
        <f t="shared" si="3"/>
        <v>0</v>
      </c>
      <c r="J86" s="787">
        <f t="shared" si="4"/>
        <v>-3878357.61</v>
      </c>
      <c r="K86" s="787">
        <f t="shared" si="5"/>
        <v>0</v>
      </c>
      <c r="L86" s="787">
        <f t="shared" si="6"/>
        <v>0</v>
      </c>
      <c r="M86" s="787">
        <f t="shared" si="7"/>
        <v>0</v>
      </c>
      <c r="N86" s="787"/>
      <c r="O86" s="624"/>
      <c r="P86" s="624">
        <v>-7756715.2199999997</v>
      </c>
      <c r="Q86" s="624"/>
      <c r="R86" s="624"/>
      <c r="S86" s="624"/>
      <c r="T86" s="787"/>
      <c r="U86" s="624"/>
      <c r="V86" s="624"/>
      <c r="W86" s="624"/>
      <c r="X86" s="624"/>
      <c r="Y86" s="624"/>
    </row>
    <row r="87" spans="1:25">
      <c r="A87" s="804">
        <f t="shared" si="17"/>
        <v>2.7099999999999849</v>
      </c>
      <c r="B87" s="624" t="s">
        <v>1254</v>
      </c>
      <c r="C87" s="787">
        <f t="shared" ref="C87:C92" si="42">SUM(O87:S87)</f>
        <v>-760316.17</v>
      </c>
      <c r="D87" s="787">
        <f t="shared" ref="D87:D92" si="43">SUM(U87:Y87)</f>
        <v>0</v>
      </c>
      <c r="E87" s="787"/>
      <c r="F87" s="787"/>
      <c r="G87" s="787">
        <f t="shared" ref="G87:G92" si="44">ROUND(SUM(C87:F87)/2,0)</f>
        <v>-380158</v>
      </c>
      <c r="H87" s="787"/>
      <c r="I87" s="787">
        <f t="shared" ref="I87:I92" si="45">(O87+U87)/2</f>
        <v>0</v>
      </c>
      <c r="J87" s="787">
        <f t="shared" ref="J87:J92" si="46">(P87+V87)/2</f>
        <v>-380158.08500000002</v>
      </c>
      <c r="K87" s="787">
        <f t="shared" ref="K87:K92" si="47">(Q87+W87)/2</f>
        <v>0</v>
      </c>
      <c r="L87" s="787">
        <f t="shared" ref="L87:L92" si="48">(R87+X87)/2</f>
        <v>0</v>
      </c>
      <c r="M87" s="787">
        <f t="shared" ref="M87:M92" si="49">(S87+Y87)/2</f>
        <v>0</v>
      </c>
      <c r="N87" s="787"/>
      <c r="O87" s="624"/>
      <c r="P87" s="624">
        <v>-760316.17</v>
      </c>
      <c r="Q87" s="624"/>
      <c r="R87" s="624"/>
      <c r="S87" s="624"/>
      <c r="T87" s="787"/>
      <c r="U87" s="624"/>
      <c r="V87" s="624"/>
      <c r="W87" s="624"/>
      <c r="X87" s="624"/>
      <c r="Y87" s="624"/>
    </row>
    <row r="88" spans="1:25">
      <c r="A88" s="804">
        <f t="shared" si="17"/>
        <v>2.7199999999999847</v>
      </c>
      <c r="B88" s="624" t="s">
        <v>1255</v>
      </c>
      <c r="C88" s="787">
        <f t="shared" si="42"/>
        <v>3512729.29</v>
      </c>
      <c r="D88" s="787">
        <f t="shared" si="43"/>
        <v>0</v>
      </c>
      <c r="E88" s="787"/>
      <c r="F88" s="787"/>
      <c r="G88" s="787">
        <f t="shared" si="44"/>
        <v>1756365</v>
      </c>
      <c r="H88" s="787"/>
      <c r="I88" s="787">
        <f t="shared" si="45"/>
        <v>0</v>
      </c>
      <c r="J88" s="787">
        <f t="shared" si="46"/>
        <v>1756364.645</v>
      </c>
      <c r="K88" s="787">
        <f t="shared" si="47"/>
        <v>0</v>
      </c>
      <c r="L88" s="787">
        <f t="shared" si="48"/>
        <v>0</v>
      </c>
      <c r="M88" s="787">
        <f t="shared" si="49"/>
        <v>0</v>
      </c>
      <c r="N88" s="787"/>
      <c r="O88" s="624"/>
      <c r="P88" s="624">
        <v>3512729.29</v>
      </c>
      <c r="Q88" s="624"/>
      <c r="R88" s="624"/>
      <c r="S88" s="624"/>
      <c r="T88" s="787"/>
      <c r="U88" s="624"/>
      <c r="V88" s="624"/>
      <c r="W88" s="624"/>
      <c r="X88" s="624"/>
      <c r="Y88" s="624"/>
    </row>
    <row r="89" spans="1:25">
      <c r="A89" s="804">
        <f t="shared" si="17"/>
        <v>2.7299999999999844</v>
      </c>
      <c r="B89" s="624" t="s">
        <v>1256</v>
      </c>
      <c r="C89" s="787">
        <f t="shared" si="42"/>
        <v>14551671.48</v>
      </c>
      <c r="D89" s="787">
        <f t="shared" si="43"/>
        <v>0</v>
      </c>
      <c r="E89" s="787"/>
      <c r="F89" s="787"/>
      <c r="G89" s="787">
        <f t="shared" si="44"/>
        <v>7275836</v>
      </c>
      <c r="H89" s="787"/>
      <c r="I89" s="787">
        <f t="shared" si="45"/>
        <v>0</v>
      </c>
      <c r="J89" s="787">
        <f t="shared" si="46"/>
        <v>7275835.7400000002</v>
      </c>
      <c r="K89" s="787">
        <f t="shared" si="47"/>
        <v>0</v>
      </c>
      <c r="L89" s="787">
        <f t="shared" si="48"/>
        <v>0</v>
      </c>
      <c r="M89" s="787">
        <f t="shared" si="49"/>
        <v>0</v>
      </c>
      <c r="N89" s="787"/>
      <c r="O89" s="624"/>
      <c r="P89" s="624">
        <v>14551671.48</v>
      </c>
      <c r="Q89" s="624"/>
      <c r="R89" s="624"/>
      <c r="S89" s="624"/>
      <c r="T89" s="787"/>
      <c r="U89" s="624"/>
      <c r="V89" s="624"/>
      <c r="W89" s="624"/>
      <c r="X89" s="624"/>
      <c r="Y89" s="624"/>
    </row>
    <row r="90" spans="1:25">
      <c r="A90" s="804">
        <f t="shared" si="17"/>
        <v>2.7399999999999842</v>
      </c>
      <c r="B90" s="624" t="s">
        <v>1257</v>
      </c>
      <c r="C90" s="787">
        <f t="shared" si="42"/>
        <v>1097580.01</v>
      </c>
      <c r="D90" s="787">
        <f t="shared" si="43"/>
        <v>0</v>
      </c>
      <c r="E90" s="787"/>
      <c r="F90" s="787"/>
      <c r="G90" s="787">
        <f t="shared" si="44"/>
        <v>548790</v>
      </c>
      <c r="H90" s="787"/>
      <c r="I90" s="787">
        <f t="shared" si="45"/>
        <v>0</v>
      </c>
      <c r="J90" s="787">
        <f t="shared" si="46"/>
        <v>548790.005</v>
      </c>
      <c r="K90" s="787">
        <f t="shared" si="47"/>
        <v>0</v>
      </c>
      <c r="L90" s="787">
        <f t="shared" si="48"/>
        <v>0</v>
      </c>
      <c r="M90" s="787">
        <f t="shared" si="49"/>
        <v>0</v>
      </c>
      <c r="N90" s="787"/>
      <c r="O90" s="624"/>
      <c r="P90" s="624">
        <v>1097580.01</v>
      </c>
      <c r="Q90" s="624"/>
      <c r="R90" s="624"/>
      <c r="S90" s="624"/>
      <c r="T90" s="787"/>
      <c r="U90" s="624"/>
      <c r="V90" s="624"/>
      <c r="W90" s="624"/>
      <c r="X90" s="624"/>
      <c r="Y90" s="624"/>
    </row>
    <row r="91" spans="1:25">
      <c r="A91" s="804">
        <f t="shared" si="17"/>
        <v>2.749999999999984</v>
      </c>
      <c r="B91" s="624" t="s">
        <v>1258</v>
      </c>
      <c r="C91" s="787">
        <f t="shared" si="42"/>
        <v>-0.17</v>
      </c>
      <c r="D91" s="787">
        <f t="shared" si="43"/>
        <v>-0.17</v>
      </c>
      <c r="E91" s="787"/>
      <c r="F91" s="787"/>
      <c r="G91" s="787">
        <f t="shared" si="44"/>
        <v>0</v>
      </c>
      <c r="H91" s="787"/>
      <c r="I91" s="787">
        <f t="shared" si="45"/>
        <v>0</v>
      </c>
      <c r="J91" s="787">
        <f t="shared" si="46"/>
        <v>0</v>
      </c>
      <c r="K91" s="787">
        <f t="shared" si="47"/>
        <v>0</v>
      </c>
      <c r="L91" s="787">
        <f t="shared" si="48"/>
        <v>-0.17</v>
      </c>
      <c r="M91" s="787">
        <f t="shared" si="49"/>
        <v>0</v>
      </c>
      <c r="N91" s="787"/>
      <c r="O91" s="624"/>
      <c r="P91" s="624"/>
      <c r="Q91" s="624"/>
      <c r="R91" s="624">
        <v>-0.17</v>
      </c>
      <c r="S91" s="624"/>
      <c r="T91" s="787"/>
      <c r="U91" s="624"/>
      <c r="V91" s="624"/>
      <c r="W91" s="624"/>
      <c r="X91" s="624">
        <v>-0.17</v>
      </c>
      <c r="Y91" s="624"/>
    </row>
    <row r="92" spans="1:25">
      <c r="A92" s="804">
        <f t="shared" si="17"/>
        <v>2.7599999999999838</v>
      </c>
      <c r="B92" s="624" t="s">
        <v>1259</v>
      </c>
      <c r="C92" s="787">
        <f t="shared" si="42"/>
        <v>241587.34000000003</v>
      </c>
      <c r="D92" s="787">
        <f t="shared" si="43"/>
        <v>267762.18</v>
      </c>
      <c r="E92" s="787"/>
      <c r="F92" s="787"/>
      <c r="G92" s="787">
        <f t="shared" si="44"/>
        <v>254675</v>
      </c>
      <c r="H92" s="787"/>
      <c r="I92" s="787">
        <f t="shared" si="45"/>
        <v>2136.8049999999998</v>
      </c>
      <c r="J92" s="787">
        <f t="shared" si="46"/>
        <v>187713.76500000001</v>
      </c>
      <c r="K92" s="787">
        <f t="shared" si="47"/>
        <v>632.5</v>
      </c>
      <c r="L92" s="787">
        <f t="shared" si="48"/>
        <v>64191.69</v>
      </c>
      <c r="M92" s="787">
        <f t="shared" si="49"/>
        <v>0</v>
      </c>
      <c r="N92" s="787"/>
      <c r="O92" s="624">
        <v>3253.16</v>
      </c>
      <c r="P92" s="624">
        <v>190680.81</v>
      </c>
      <c r="Q92" s="624">
        <v>855.07</v>
      </c>
      <c r="R92" s="624">
        <v>46798.3</v>
      </c>
      <c r="S92" s="624"/>
      <c r="T92" s="787"/>
      <c r="U92" s="624">
        <v>1020.45</v>
      </c>
      <c r="V92" s="624">
        <v>184746.72</v>
      </c>
      <c r="W92" s="624">
        <v>409.93</v>
      </c>
      <c r="X92" s="624">
        <v>81585.08</v>
      </c>
      <c r="Y92" s="624"/>
    </row>
    <row r="93" spans="1:25">
      <c r="A93" s="804">
        <f t="shared" si="17"/>
        <v>2.7699999999999836</v>
      </c>
      <c r="B93" s="1094" t="s">
        <v>1087</v>
      </c>
      <c r="C93" s="1094">
        <f>SUM(O93:S93)</f>
        <v>0</v>
      </c>
      <c r="D93" s="1094">
        <f>SUM(U93:Y93)</f>
        <v>0</v>
      </c>
      <c r="E93" s="1095"/>
      <c r="F93" s="1095"/>
      <c r="G93" s="787">
        <f t="shared" ref="G93" si="50">ROUND(SUM(C93:F93)/2,0)</f>
        <v>0</v>
      </c>
      <c r="H93" s="787"/>
      <c r="I93" s="787">
        <f t="shared" ref="I93" si="51">(O93+U93)/2</f>
        <v>0</v>
      </c>
      <c r="J93" s="787">
        <f t="shared" ref="J93" si="52">(P93+V93)/2</f>
        <v>0</v>
      </c>
      <c r="K93" s="787">
        <f t="shared" ref="K93" si="53">(Q93+W93)/2</f>
        <v>0</v>
      </c>
      <c r="L93" s="787">
        <f t="shared" ref="L93" si="54">(R93+X93)/2</f>
        <v>0</v>
      </c>
      <c r="M93" s="787">
        <f t="shared" ref="M93" si="55">(S93+Y93)/2</f>
        <v>0</v>
      </c>
      <c r="N93" s="787"/>
      <c r="O93" s="624">
        <v>0</v>
      </c>
      <c r="P93" s="624">
        <v>0</v>
      </c>
      <c r="Q93" s="624">
        <v>0</v>
      </c>
      <c r="R93" s="624">
        <v>0</v>
      </c>
      <c r="S93" s="624"/>
      <c r="T93" s="787"/>
      <c r="U93" s="624"/>
      <c r="V93" s="624"/>
      <c r="W93" s="624"/>
      <c r="X93" s="624"/>
      <c r="Y93" s="624"/>
    </row>
    <row r="94" spans="1:25">
      <c r="A94" s="804">
        <f t="shared" si="17"/>
        <v>2.7799999999999834</v>
      </c>
      <c r="B94" s="1094" t="s">
        <v>1088</v>
      </c>
      <c r="C94" s="1094">
        <f>-E94</f>
        <v>0</v>
      </c>
      <c r="D94" s="1094">
        <f>-F94</f>
        <v>0</v>
      </c>
      <c r="E94" s="1095">
        <f>C93</f>
        <v>0</v>
      </c>
      <c r="F94" s="1095">
        <f>D93</f>
        <v>0</v>
      </c>
      <c r="G94" s="787">
        <f t="shared" ref="G94:G103" si="56">ROUND(SUM(C94:F94)/2,0)</f>
        <v>0</v>
      </c>
      <c r="H94" s="787"/>
      <c r="I94" s="787"/>
      <c r="J94" s="787"/>
      <c r="K94" s="787"/>
      <c r="L94" s="787"/>
      <c r="M94" s="787"/>
      <c r="N94" s="787"/>
      <c r="O94" s="624"/>
      <c r="P94" s="624"/>
      <c r="Q94" s="624"/>
      <c r="R94" s="624"/>
      <c r="S94" s="624"/>
      <c r="T94" s="787"/>
      <c r="U94" s="624"/>
      <c r="V94" s="624"/>
      <c r="W94" s="624"/>
      <c r="X94" s="624"/>
      <c r="Y94" s="624"/>
    </row>
    <row r="95" spans="1:25">
      <c r="A95" s="804">
        <f t="shared" si="17"/>
        <v>2.7899999999999832</v>
      </c>
      <c r="B95" s="624" t="s">
        <v>958</v>
      </c>
      <c r="C95" s="624">
        <f>-E95</f>
        <v>3324770.18</v>
      </c>
      <c r="D95" s="624">
        <f>-F95</f>
        <v>1907483.6400000001</v>
      </c>
      <c r="E95" s="787">
        <v>-3324770.18</v>
      </c>
      <c r="F95" s="787">
        <v>-1907483.6400000001</v>
      </c>
      <c r="G95" s="787">
        <f t="shared" si="56"/>
        <v>0</v>
      </c>
      <c r="H95" s="787"/>
      <c r="I95" s="787"/>
      <c r="J95" s="787"/>
      <c r="K95" s="787"/>
      <c r="L95" s="787"/>
      <c r="M95" s="787"/>
      <c r="N95" s="787"/>
      <c r="O95" s="787"/>
      <c r="P95" s="787"/>
      <c r="Q95" s="787"/>
      <c r="R95" s="787"/>
      <c r="S95" s="787"/>
      <c r="T95" s="787"/>
      <c r="U95" s="787"/>
      <c r="V95" s="787"/>
      <c r="W95" s="787"/>
      <c r="X95" s="787"/>
      <c r="Y95" s="787"/>
    </row>
    <row r="96" spans="1:25">
      <c r="A96" s="804">
        <f t="shared" si="17"/>
        <v>2.7999999999999829</v>
      </c>
      <c r="B96" s="624" t="s">
        <v>970</v>
      </c>
      <c r="C96" s="624">
        <f t="shared" ref="C96:C103" si="57">-E96</f>
        <v>52904347.18</v>
      </c>
      <c r="D96" s="624">
        <f t="shared" ref="D96:D103" si="58">-F96</f>
        <v>51931377.590000004</v>
      </c>
      <c r="E96" s="787">
        <v>-52904347.18</v>
      </c>
      <c r="F96" s="787">
        <v>-51931377.590000004</v>
      </c>
      <c r="G96" s="787">
        <f t="shared" si="56"/>
        <v>0</v>
      </c>
      <c r="H96" s="787"/>
      <c r="I96" s="787"/>
      <c r="J96" s="787"/>
      <c r="K96" s="787"/>
      <c r="L96" s="787"/>
      <c r="M96" s="787"/>
      <c r="N96" s="787"/>
      <c r="O96" s="787"/>
      <c r="P96" s="787"/>
      <c r="Q96" s="787"/>
      <c r="R96" s="787"/>
      <c r="S96" s="787"/>
      <c r="T96" s="787"/>
      <c r="U96" s="787"/>
      <c r="V96" s="787"/>
      <c r="W96" s="787"/>
      <c r="X96" s="787"/>
      <c r="Y96" s="787"/>
    </row>
    <row r="97" spans="1:262">
      <c r="A97" s="804">
        <f t="shared" si="17"/>
        <v>2.8099999999999827</v>
      </c>
      <c r="B97" s="624" t="s">
        <v>971</v>
      </c>
      <c r="C97" s="624">
        <f t="shared" si="57"/>
        <v>69718180.769999996</v>
      </c>
      <c r="D97" s="624">
        <f t="shared" si="58"/>
        <v>-23478426.350000001</v>
      </c>
      <c r="E97" s="787">
        <v>-69718180.769999996</v>
      </c>
      <c r="F97" s="787">
        <v>23478426.350000001</v>
      </c>
      <c r="G97" s="787">
        <f t="shared" si="56"/>
        <v>0</v>
      </c>
      <c r="H97" s="787"/>
      <c r="I97" s="787"/>
      <c r="J97" s="787"/>
      <c r="K97" s="787"/>
      <c r="L97" s="787"/>
      <c r="M97" s="787"/>
      <c r="N97" s="787"/>
      <c r="O97" s="787"/>
      <c r="P97" s="787"/>
      <c r="Q97" s="787"/>
      <c r="R97" s="787"/>
      <c r="S97" s="787"/>
      <c r="T97" s="787"/>
      <c r="U97" s="787"/>
      <c r="V97" s="787"/>
      <c r="W97" s="787"/>
      <c r="X97" s="787"/>
      <c r="Y97" s="787"/>
    </row>
    <row r="98" spans="1:262">
      <c r="A98" s="804">
        <f t="shared" si="17"/>
        <v>2.8199999999999825</v>
      </c>
      <c r="B98" s="624" t="s">
        <v>1417</v>
      </c>
      <c r="C98" s="624">
        <f t="shared" ref="C98" si="59">-E98</f>
        <v>0</v>
      </c>
      <c r="D98" s="624">
        <f t="shared" ref="D98" si="60">-F98</f>
        <v>16132587.43</v>
      </c>
      <c r="E98" s="787">
        <v>0</v>
      </c>
      <c r="F98" s="787">
        <v>-16132587.43</v>
      </c>
      <c r="G98" s="787"/>
      <c r="H98" s="787"/>
      <c r="I98" s="787"/>
      <c r="J98" s="787"/>
      <c r="K98" s="787"/>
      <c r="L98" s="787"/>
      <c r="M98" s="787"/>
      <c r="N98" s="787"/>
      <c r="O98" s="787"/>
      <c r="P98" s="787"/>
      <c r="Q98" s="787"/>
      <c r="R98" s="787"/>
      <c r="S98" s="787"/>
      <c r="T98" s="787"/>
      <c r="U98" s="787"/>
      <c r="V98" s="787"/>
      <c r="W98" s="787"/>
      <c r="X98" s="787"/>
      <c r="Y98" s="787"/>
    </row>
    <row r="99" spans="1:262">
      <c r="A99" s="804">
        <f t="shared" si="17"/>
        <v>2.8299999999999823</v>
      </c>
      <c r="B99" s="624" t="s">
        <v>1360</v>
      </c>
      <c r="C99" s="624">
        <f t="shared" ref="C99" si="61">-E99</f>
        <v>3402760.38</v>
      </c>
      <c r="D99" s="624">
        <f t="shared" ref="D99" si="62">-F99</f>
        <v>3218673.39</v>
      </c>
      <c r="E99" s="787">
        <v>-3402760.38</v>
      </c>
      <c r="F99" s="787">
        <v>-3218673.39</v>
      </c>
      <c r="G99" s="787">
        <f t="shared" si="56"/>
        <v>0</v>
      </c>
      <c r="H99" s="787"/>
      <c r="I99" s="787"/>
      <c r="J99" s="787"/>
      <c r="K99" s="787"/>
      <c r="L99" s="787"/>
      <c r="M99" s="787"/>
      <c r="N99" s="787"/>
      <c r="O99" s="787"/>
      <c r="P99" s="787"/>
      <c r="Q99" s="787"/>
      <c r="R99" s="787"/>
      <c r="S99" s="787"/>
      <c r="T99" s="787"/>
      <c r="U99" s="787"/>
      <c r="V99" s="787"/>
      <c r="W99" s="787"/>
      <c r="X99" s="787"/>
      <c r="Y99" s="787"/>
    </row>
    <row r="100" spans="1:262">
      <c r="A100" s="804">
        <f t="shared" si="17"/>
        <v>2.8399999999999821</v>
      </c>
      <c r="B100" s="624" t="s">
        <v>972</v>
      </c>
      <c r="C100" s="624">
        <f t="shared" si="57"/>
        <v>1061.8</v>
      </c>
      <c r="D100" s="624">
        <f t="shared" si="58"/>
        <v>18934.25</v>
      </c>
      <c r="E100" s="787">
        <v>-1061.8</v>
      </c>
      <c r="F100" s="787">
        <v>-18934.25</v>
      </c>
      <c r="G100" s="787">
        <f t="shared" si="56"/>
        <v>0</v>
      </c>
      <c r="H100" s="787"/>
      <c r="I100" s="787"/>
      <c r="J100" s="787"/>
      <c r="K100" s="787"/>
      <c r="L100" s="787"/>
      <c r="M100" s="787"/>
      <c r="N100" s="787"/>
      <c r="O100" s="787"/>
      <c r="P100" s="787"/>
      <c r="Q100" s="787"/>
      <c r="R100" s="787"/>
      <c r="S100" s="787"/>
      <c r="T100" s="787"/>
      <c r="U100" s="787"/>
      <c r="V100" s="787"/>
      <c r="W100" s="787"/>
      <c r="X100" s="787"/>
      <c r="Y100" s="787"/>
    </row>
    <row r="101" spans="1:262">
      <c r="A101" s="804">
        <f t="shared" si="17"/>
        <v>2.8499999999999819</v>
      </c>
      <c r="B101" s="624" t="s">
        <v>973</v>
      </c>
      <c r="C101" s="624">
        <f t="shared" si="57"/>
        <v>-2082580.48</v>
      </c>
      <c r="D101" s="624">
        <f t="shared" si="58"/>
        <v>-1866905.19</v>
      </c>
      <c r="E101" s="787">
        <v>2082580.48</v>
      </c>
      <c r="F101" s="787">
        <v>1866905.19</v>
      </c>
      <c r="G101" s="787">
        <f t="shared" si="56"/>
        <v>0</v>
      </c>
      <c r="H101" s="787"/>
      <c r="I101" s="787"/>
      <c r="J101" s="787"/>
      <c r="K101" s="787"/>
      <c r="L101" s="787"/>
      <c r="M101" s="787"/>
      <c r="N101" s="787"/>
      <c r="O101" s="787"/>
      <c r="P101" s="787"/>
      <c r="Q101" s="787"/>
      <c r="R101" s="787"/>
      <c r="S101" s="787"/>
      <c r="T101" s="787"/>
      <c r="U101" s="787"/>
      <c r="V101" s="787"/>
      <c r="W101" s="787"/>
      <c r="X101" s="787"/>
      <c r="Y101" s="787"/>
    </row>
    <row r="102" spans="1:262">
      <c r="A102" s="804">
        <f t="shared" si="17"/>
        <v>2.8599999999999817</v>
      </c>
      <c r="B102" s="624" t="s">
        <v>974</v>
      </c>
      <c r="C102" s="624">
        <f t="shared" si="57"/>
        <v>695455.29</v>
      </c>
      <c r="D102" s="624">
        <f t="shared" si="58"/>
        <v>42615.89</v>
      </c>
      <c r="E102" s="787">
        <v>-695455.29</v>
      </c>
      <c r="F102" s="787">
        <v>-42615.89</v>
      </c>
      <c r="G102" s="787">
        <f t="shared" si="56"/>
        <v>0</v>
      </c>
      <c r="H102" s="787"/>
      <c r="I102" s="787"/>
      <c r="J102" s="787"/>
      <c r="K102" s="787"/>
      <c r="L102" s="787"/>
      <c r="M102" s="787"/>
      <c r="N102" s="787"/>
      <c r="O102" s="787"/>
      <c r="P102" s="787"/>
      <c r="Q102" s="787"/>
      <c r="R102" s="787"/>
      <c r="S102" s="787"/>
      <c r="T102" s="787"/>
      <c r="U102" s="787"/>
      <c r="V102" s="787"/>
      <c r="W102" s="787"/>
      <c r="X102" s="787"/>
      <c r="Y102" s="787"/>
    </row>
    <row r="103" spans="1:262">
      <c r="A103" s="804">
        <f t="shared" si="17"/>
        <v>2.8699999999999815</v>
      </c>
      <c r="B103" s="624" t="s">
        <v>975</v>
      </c>
      <c r="C103" s="624">
        <f t="shared" si="57"/>
        <v>1298993.7</v>
      </c>
      <c r="D103" s="624">
        <f t="shared" si="58"/>
        <v>1182860.3600000001</v>
      </c>
      <c r="E103" s="787">
        <v>-1298993.7</v>
      </c>
      <c r="F103" s="787">
        <v>-1182860.3600000001</v>
      </c>
      <c r="G103" s="787">
        <f t="shared" si="56"/>
        <v>0</v>
      </c>
      <c r="H103" s="787"/>
      <c r="I103" s="787"/>
      <c r="J103" s="787"/>
      <c r="K103" s="787"/>
      <c r="L103" s="787"/>
      <c r="M103" s="787"/>
      <c r="N103" s="787"/>
      <c r="O103" s="787"/>
      <c r="P103" s="787"/>
      <c r="Q103" s="787"/>
      <c r="R103" s="787"/>
      <c r="S103" s="787"/>
      <c r="T103" s="787"/>
      <c r="U103" s="787"/>
      <c r="V103" s="787"/>
      <c r="W103" s="787"/>
      <c r="X103" s="787"/>
      <c r="Y103" s="787"/>
    </row>
    <row r="104" spans="1:262">
      <c r="A104" s="804">
        <f t="shared" si="17"/>
        <v>2.8799999999999812</v>
      </c>
      <c r="B104" s="624" t="s">
        <v>1260</v>
      </c>
      <c r="C104" s="624">
        <f t="shared" ref="C104" si="63">-E104</f>
        <v>895074.27</v>
      </c>
      <c r="D104" s="624">
        <f t="shared" ref="D104" si="64">-F104</f>
        <v>801498.57000000007</v>
      </c>
      <c r="E104" s="787">
        <v>-895074.27</v>
      </c>
      <c r="F104" s="787">
        <v>-801498.57000000007</v>
      </c>
      <c r="G104" s="787"/>
      <c r="H104" s="787"/>
      <c r="I104" s="787"/>
      <c r="J104" s="787"/>
      <c r="K104" s="787"/>
      <c r="L104" s="787"/>
      <c r="M104" s="787"/>
      <c r="N104" s="787"/>
      <c r="O104" s="787"/>
      <c r="P104" s="787"/>
      <c r="Q104" s="787"/>
      <c r="R104" s="787"/>
      <c r="S104" s="787"/>
      <c r="T104" s="787"/>
      <c r="U104" s="787"/>
      <c r="V104" s="787"/>
      <c r="W104" s="787"/>
      <c r="X104" s="787"/>
      <c r="Y104" s="787"/>
    </row>
    <row r="105" spans="1:262">
      <c r="A105" s="804">
        <f t="shared" ref="A105:A107" si="65">A104+0.01</f>
        <v>2.889999999999981</v>
      </c>
      <c r="B105" s="624" t="s">
        <v>1195</v>
      </c>
      <c r="C105" s="624">
        <f t="shared" ref="C105:C106" si="66">-E105</f>
        <v>13490975.140000001</v>
      </c>
      <c r="D105" s="624">
        <f t="shared" ref="D105:D106" si="67">-F105</f>
        <v>32167811.670000002</v>
      </c>
      <c r="E105" s="787">
        <v>-13490975.140000001</v>
      </c>
      <c r="F105" s="787">
        <v>-32167811.670000002</v>
      </c>
      <c r="G105" s="787"/>
      <c r="H105" s="787"/>
      <c r="I105" s="787"/>
      <c r="J105" s="787"/>
      <c r="K105" s="787"/>
      <c r="L105" s="787"/>
      <c r="M105" s="787"/>
      <c r="N105" s="787"/>
      <c r="O105" s="787"/>
      <c r="P105" s="787"/>
      <c r="Q105" s="787"/>
      <c r="R105" s="787"/>
      <c r="S105" s="787"/>
      <c r="T105" s="787"/>
      <c r="U105" s="787"/>
      <c r="V105" s="787"/>
      <c r="W105" s="787"/>
      <c r="X105" s="787"/>
      <c r="Y105" s="787"/>
    </row>
    <row r="106" spans="1:262">
      <c r="A106" s="804">
        <f t="shared" si="65"/>
        <v>2.8999999999999808</v>
      </c>
      <c r="B106" s="624" t="s">
        <v>1196</v>
      </c>
      <c r="C106" s="624">
        <f t="shared" si="66"/>
        <v>622751.85</v>
      </c>
      <c r="D106" s="624">
        <f t="shared" si="67"/>
        <v>0</v>
      </c>
      <c r="E106" s="787">
        <v>-622751.85</v>
      </c>
      <c r="F106" s="787">
        <v>0</v>
      </c>
      <c r="G106" s="787"/>
      <c r="H106" s="787"/>
      <c r="I106" s="787"/>
      <c r="J106" s="787"/>
      <c r="K106" s="787"/>
      <c r="L106" s="787"/>
      <c r="M106" s="787"/>
      <c r="N106" s="787"/>
      <c r="O106" s="787"/>
      <c r="P106" s="787"/>
      <c r="Q106" s="787"/>
      <c r="R106" s="787"/>
      <c r="S106" s="787"/>
      <c r="T106" s="787"/>
      <c r="U106" s="787"/>
      <c r="V106" s="787"/>
      <c r="W106" s="787"/>
      <c r="X106" s="787"/>
      <c r="Y106" s="787"/>
    </row>
    <row r="107" spans="1:262">
      <c r="A107" s="804">
        <f t="shared" si="65"/>
        <v>2.9099999999999806</v>
      </c>
      <c r="B107" s="1153" t="s">
        <v>969</v>
      </c>
      <c r="C107" s="787">
        <f t="shared" ref="C107" si="68">SUM(O107:S107)</f>
        <v>8376.4699999999975</v>
      </c>
      <c r="D107" s="787">
        <f t="shared" ref="D107" si="69">SUM(U107:Y107)</f>
        <v>0</v>
      </c>
      <c r="E107" s="787"/>
      <c r="F107" s="787"/>
      <c r="G107" s="787">
        <f t="shared" ref="G107" si="70">ROUND(SUM(C107:F107)/2,0)</f>
        <v>4188</v>
      </c>
      <c r="H107" s="787"/>
      <c r="I107" s="787">
        <f t="shared" ref="I107" si="71">(O107+U107)/2</f>
        <v>17948.89</v>
      </c>
      <c r="J107" s="787">
        <f t="shared" ref="J107" si="72">(P107+V107)/2</f>
        <v>-29459.685000000001</v>
      </c>
      <c r="K107" s="787">
        <f t="shared" ref="K107" si="73">(Q107+W107)/2</f>
        <v>0</v>
      </c>
      <c r="L107" s="787">
        <f t="shared" ref="L107" si="74">(R107+X107)/2</f>
        <v>15699.03</v>
      </c>
      <c r="M107" s="787">
        <f t="shared" ref="M107" si="75">(S107+Y107)/2</f>
        <v>0</v>
      </c>
      <c r="N107" s="787"/>
      <c r="O107" s="624">
        <v>35897.78</v>
      </c>
      <c r="P107" s="624">
        <v>-58919.37</v>
      </c>
      <c r="Q107" s="624">
        <v>0</v>
      </c>
      <c r="R107" s="624">
        <v>31398.06</v>
      </c>
      <c r="S107" s="624">
        <v>0</v>
      </c>
      <c r="T107" s="787"/>
      <c r="U107" s="624"/>
      <c r="V107" s="624"/>
      <c r="W107" s="624"/>
      <c r="X107" s="624"/>
      <c r="Y107" s="624"/>
    </row>
    <row r="108" spans="1:262">
      <c r="A108" s="140"/>
      <c r="B108" s="787"/>
      <c r="C108" s="787"/>
      <c r="D108" s="787"/>
      <c r="E108" s="787"/>
      <c r="F108" s="787"/>
      <c r="G108" s="787"/>
      <c r="H108" s="787"/>
      <c r="I108" s="787"/>
      <c r="J108" s="787"/>
      <c r="K108" s="787"/>
      <c r="L108" s="787"/>
      <c r="M108" s="787"/>
      <c r="N108" s="787"/>
      <c r="O108" s="787"/>
      <c r="P108" s="787"/>
      <c r="Q108" s="787"/>
      <c r="R108" s="787"/>
      <c r="S108" s="787"/>
      <c r="T108" s="787"/>
      <c r="U108" s="787"/>
      <c r="V108" s="787"/>
      <c r="W108" s="787"/>
      <c r="X108" s="787"/>
      <c r="Y108" s="787"/>
    </row>
    <row r="109" spans="1:262" ht="13.5" thickBot="1">
      <c r="A109" s="1">
        <v>5</v>
      </c>
      <c r="B109" s="787" t="s">
        <v>734</v>
      </c>
      <c r="C109" s="796">
        <f>SUM(C17:C108)</f>
        <v>1072227052.6100001</v>
      </c>
      <c r="D109" s="796">
        <f>SUM(D17:D108)</f>
        <v>1159943682.3000004</v>
      </c>
      <c r="E109" s="796">
        <f>SUM(E17:E108)</f>
        <v>-144271790.07999998</v>
      </c>
      <c r="F109" s="796">
        <f>SUM(F17:F108)</f>
        <v>-82058511.25</v>
      </c>
      <c r="G109" s="796">
        <f>SUM(G17:G108)</f>
        <v>1002920219</v>
      </c>
      <c r="H109" s="787"/>
      <c r="I109" s="796">
        <f>SUM(I17:I108)</f>
        <v>18397926.379999992</v>
      </c>
      <c r="J109" s="796"/>
      <c r="K109" s="796">
        <f>SUM(K17:K108)</f>
        <v>12734428.019999994</v>
      </c>
      <c r="L109" s="796">
        <f>SUM(L17:L108)</f>
        <v>11876823.375000002</v>
      </c>
      <c r="M109" s="796">
        <f>SUM(M17:M108)</f>
        <v>0</v>
      </c>
      <c r="N109" s="787"/>
      <c r="O109" s="796">
        <f>SUM(O17:O108)</f>
        <v>17531399.440000001</v>
      </c>
      <c r="P109" s="796">
        <f>SUM(P17:P108)</f>
        <v>903318233.45999992</v>
      </c>
      <c r="Q109" s="796">
        <f>SUM(Q17:Q108)</f>
        <v>3221831.24</v>
      </c>
      <c r="R109" s="796">
        <f>SUM(R17:R108)</f>
        <v>3883798.39</v>
      </c>
      <c r="S109" s="796">
        <f>SUM(S17:S108)</f>
        <v>0</v>
      </c>
      <c r="T109" s="787"/>
      <c r="U109" s="796">
        <f>SUM(U17:U108)</f>
        <v>19264453.32</v>
      </c>
      <c r="V109" s="796">
        <f>SUM(V17:V108)</f>
        <v>1016503844.5699999</v>
      </c>
      <c r="W109" s="796">
        <f>SUM(W17:W108)</f>
        <v>22247024.800000001</v>
      </c>
      <c r="X109" s="796">
        <f>SUM(X17:X108)</f>
        <v>19869848.359999988</v>
      </c>
      <c r="Y109" s="796">
        <f>SUM(Y17:Y108)</f>
        <v>0</v>
      </c>
    </row>
    <row r="110" spans="1:262" ht="13.5" thickTop="1">
      <c r="A110" s="1">
        <v>6</v>
      </c>
      <c r="B110" s="20" t="s">
        <v>737</v>
      </c>
      <c r="C110" s="792">
        <f>C64+C58</f>
        <v>888508495.38</v>
      </c>
      <c r="D110" s="792">
        <f>D64+D58</f>
        <v>995321852.13999999</v>
      </c>
      <c r="E110" s="792">
        <f t="shared" ref="E110:G110" si="76">E64+E58</f>
        <v>0</v>
      </c>
      <c r="F110" s="792">
        <f t="shared" si="76"/>
        <v>0</v>
      </c>
      <c r="G110" s="792">
        <f t="shared" si="76"/>
        <v>941915174</v>
      </c>
      <c r="H110" s="4"/>
      <c r="I110" s="792">
        <f t="shared" ref="I110:M110" si="77">I64+I58</f>
        <v>26220016.199999999</v>
      </c>
      <c r="J110" s="792">
        <f t="shared" si="77"/>
        <v>915457729.16999996</v>
      </c>
      <c r="K110" s="792">
        <f t="shared" si="77"/>
        <v>0</v>
      </c>
      <c r="L110" s="792">
        <f t="shared" si="77"/>
        <v>237428.39</v>
      </c>
      <c r="M110" s="792">
        <f t="shared" si="77"/>
        <v>0</v>
      </c>
      <c r="N110" s="4"/>
      <c r="O110" s="792">
        <f t="shared" ref="O110:S110" si="78">O64+O58</f>
        <v>25258435.02</v>
      </c>
      <c r="P110" s="792">
        <f t="shared" si="78"/>
        <v>863011938.79999995</v>
      </c>
      <c r="Q110" s="792">
        <f t="shared" si="78"/>
        <v>0</v>
      </c>
      <c r="R110" s="792">
        <f t="shared" si="78"/>
        <v>238121.56</v>
      </c>
      <c r="S110" s="792">
        <f t="shared" si="78"/>
        <v>0</v>
      </c>
      <c r="T110" s="4"/>
      <c r="U110" s="792">
        <f t="shared" ref="U110:Y110" si="79">U64+U58</f>
        <v>27181597.379999999</v>
      </c>
      <c r="V110" s="792">
        <f t="shared" si="79"/>
        <v>967903519.53999996</v>
      </c>
      <c r="W110" s="792">
        <f t="shared" si="79"/>
        <v>0</v>
      </c>
      <c r="X110" s="792">
        <f t="shared" si="79"/>
        <v>236735.22</v>
      </c>
      <c r="Y110" s="792">
        <f t="shared" si="79"/>
        <v>0</v>
      </c>
      <c r="Z110" s="4"/>
      <c r="JB110" s="787"/>
    </row>
    <row r="111" spans="1:262">
      <c r="I111" s="787"/>
      <c r="J111" s="787"/>
    </row>
    <row r="113" spans="4:5">
      <c r="D113" s="1152"/>
    </row>
    <row r="115" spans="4:5">
      <c r="D115" s="1152"/>
      <c r="E115" s="1152"/>
    </row>
  </sheetData>
  <mergeCells count="3">
    <mergeCell ref="I10:M10"/>
    <mergeCell ref="O10:S10"/>
    <mergeCell ref="U10:Y10"/>
  </mergeCells>
  <pageMargins left="0.7" right="0.7" top="0.75" bottom="0.75" header="0.3" footer="0.3"/>
  <pageSetup scale="2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pageSetUpPr fitToPage="1"/>
  </sheetPr>
  <dimension ref="A1:W103"/>
  <sheetViews>
    <sheetView tabSelected="1" zoomScale="85" zoomScaleNormal="85" workbookViewId="0">
      <pane ySplit="10" topLeftCell="A26" activePane="bottomLeft" state="frozen"/>
      <selection activeCell="D9" sqref="D9"/>
      <selection pane="bottomLeft" activeCell="D9" sqref="D9"/>
    </sheetView>
  </sheetViews>
  <sheetFormatPr defaultColWidth="10" defaultRowHeight="12"/>
  <cols>
    <col min="1" max="1" width="9.42578125" style="1040" customWidth="1"/>
    <col min="2" max="2" width="20.85546875" style="1041" customWidth="1"/>
    <col min="3" max="3" width="35.5703125" style="1040" customWidth="1"/>
    <col min="4" max="4" width="12.85546875" style="1040" customWidth="1"/>
    <col min="5" max="5" width="10.42578125" style="1040" customWidth="1"/>
    <col min="6" max="6" width="16.42578125" style="1040" customWidth="1"/>
    <col min="7" max="7" width="12" style="1040" customWidth="1"/>
    <col min="8" max="8" width="14.28515625" style="1040" bestFit="1" customWidth="1"/>
    <col min="9" max="9" width="18.85546875" style="1040" customWidth="1"/>
    <col min="10" max="10" width="15.5703125" style="1040" customWidth="1"/>
    <col min="11" max="11" width="16.140625" style="1040" customWidth="1"/>
    <col min="12" max="13" width="15" style="1040" customWidth="1"/>
    <col min="14" max="14" width="13.5703125" style="1040" customWidth="1"/>
    <col min="15" max="15" width="15" style="1040" customWidth="1"/>
    <col min="16" max="17" width="17.5703125" style="1040" customWidth="1"/>
    <col min="18" max="18" width="37.140625" style="1040" bestFit="1" customWidth="1"/>
    <col min="19" max="19" width="15" style="1040" customWidth="1"/>
    <col min="20" max="21" width="14.5703125" style="1040" bestFit="1" customWidth="1"/>
    <col min="22" max="22" width="10.5703125" style="1040" bestFit="1" customWidth="1"/>
    <col min="23" max="16384" width="10" style="1040"/>
  </cols>
  <sheetData>
    <row r="1" spans="1:23" ht="12.75">
      <c r="A1" s="1040" t="s">
        <v>985</v>
      </c>
      <c r="R1" s="1042"/>
    </row>
    <row r="2" spans="1:23" ht="12.75">
      <c r="A2" s="1040" t="s">
        <v>986</v>
      </c>
      <c r="R2" s="1042"/>
      <c r="V2" s="1043"/>
    </row>
    <row r="3" spans="1:23" ht="12.75">
      <c r="A3" s="1040" t="s">
        <v>987</v>
      </c>
      <c r="R3" s="1042"/>
      <c r="V3" s="1019"/>
    </row>
    <row r="4" spans="1:23">
      <c r="A4" s="1040" t="s">
        <v>1414</v>
      </c>
      <c r="G4" s="1020"/>
    </row>
    <row r="5" spans="1:23">
      <c r="A5" s="1040" t="s">
        <v>988</v>
      </c>
      <c r="I5" s="1044"/>
      <c r="J5" s="1044"/>
      <c r="P5" s="1044"/>
      <c r="Q5" s="1044"/>
    </row>
    <row r="6" spans="1:23">
      <c r="J6" s="1044"/>
      <c r="K6" s="1021"/>
      <c r="L6" s="1041"/>
      <c r="M6" s="1041"/>
      <c r="N6" s="1041"/>
      <c r="O6" s="1041"/>
      <c r="P6" s="1041"/>
      <c r="Q6" s="1041"/>
    </row>
    <row r="7" spans="1:23">
      <c r="B7" s="1045"/>
      <c r="C7" s="1045"/>
      <c r="D7" s="1045"/>
      <c r="E7" s="1045"/>
      <c r="F7" s="1045"/>
      <c r="G7" s="1045"/>
      <c r="H7" s="1045"/>
      <c r="I7" s="1045"/>
      <c r="J7" s="1045"/>
      <c r="K7" s="1045"/>
      <c r="L7" s="1045"/>
      <c r="M7" s="1045"/>
      <c r="N7" s="1045"/>
      <c r="O7" s="1045"/>
      <c r="P7" s="1045"/>
      <c r="Q7" s="1041"/>
    </row>
    <row r="8" spans="1:23">
      <c r="A8" s="1041" t="s">
        <v>149</v>
      </c>
      <c r="B8" s="1041" t="s">
        <v>150</v>
      </c>
      <c r="C8" s="1041" t="s">
        <v>151</v>
      </c>
      <c r="D8" s="1041" t="s">
        <v>152</v>
      </c>
      <c r="E8" s="1041" t="s">
        <v>153</v>
      </c>
      <c r="F8" s="1041" t="s">
        <v>154</v>
      </c>
      <c r="G8" s="1041" t="s">
        <v>155</v>
      </c>
      <c r="H8" s="1041" t="s">
        <v>156</v>
      </c>
      <c r="I8" s="1041" t="s">
        <v>989</v>
      </c>
      <c r="J8" s="1041" t="s">
        <v>990</v>
      </c>
      <c r="K8" s="1041" t="s">
        <v>159</v>
      </c>
      <c r="L8" s="1041" t="s">
        <v>160</v>
      </c>
      <c r="M8" s="1041" t="s">
        <v>161</v>
      </c>
      <c r="N8" s="1041" t="s">
        <v>246</v>
      </c>
      <c r="O8" s="1041" t="s">
        <v>305</v>
      </c>
      <c r="P8" s="1041" t="s">
        <v>351</v>
      </c>
      <c r="Q8" s="1041" t="s">
        <v>352</v>
      </c>
      <c r="R8" s="1041" t="s">
        <v>353</v>
      </c>
    </row>
    <row r="9" spans="1:23" ht="14.45" customHeight="1">
      <c r="A9" s="1040" t="s">
        <v>991</v>
      </c>
      <c r="B9"/>
      <c r="C9"/>
      <c r="D9"/>
      <c r="E9"/>
      <c r="I9" s="1244" t="s">
        <v>1415</v>
      </c>
      <c r="J9" s="1244"/>
      <c r="K9" s="1245" t="s">
        <v>992</v>
      </c>
      <c r="L9" s="1245"/>
      <c r="M9" s="1245"/>
      <c r="N9" s="1246" t="s">
        <v>993</v>
      </c>
      <c r="O9" s="1246"/>
      <c r="P9" s="1244" t="s">
        <v>1416</v>
      </c>
      <c r="Q9" s="1244"/>
    </row>
    <row r="10" spans="1:23" ht="72">
      <c r="A10" s="1046" t="s">
        <v>994</v>
      </c>
      <c r="B10" s="1048" t="s">
        <v>1146</v>
      </c>
      <c r="C10" s="1047" t="s">
        <v>995</v>
      </c>
      <c r="D10" s="1048" t="s">
        <v>996</v>
      </c>
      <c r="E10" s="1048" t="s">
        <v>997</v>
      </c>
      <c r="F10" s="1048" t="s">
        <v>1147</v>
      </c>
      <c r="G10" s="1048" t="s">
        <v>1148</v>
      </c>
      <c r="H10" s="1048" t="s">
        <v>998</v>
      </c>
      <c r="I10" s="1049" t="s">
        <v>1149</v>
      </c>
      <c r="J10" s="1049" t="s">
        <v>1150</v>
      </c>
      <c r="K10" s="1048" t="s">
        <v>999</v>
      </c>
      <c r="L10" s="1048">
        <v>182.3</v>
      </c>
      <c r="M10" s="1048">
        <v>254</v>
      </c>
      <c r="N10" s="1048" t="s">
        <v>1151</v>
      </c>
      <c r="O10" s="1048" t="s">
        <v>1000</v>
      </c>
      <c r="P10" s="1049" t="s">
        <v>1152</v>
      </c>
      <c r="Q10" s="1049" t="s">
        <v>1153</v>
      </c>
      <c r="R10" s="1050" t="s">
        <v>1001</v>
      </c>
    </row>
    <row r="11" spans="1:23">
      <c r="B11" s="1040"/>
      <c r="D11" s="1051"/>
      <c r="E11" s="1051"/>
      <c r="F11" s="1051"/>
      <c r="G11" s="1051"/>
      <c r="H11" s="1051"/>
      <c r="I11" s="1051"/>
      <c r="J11" s="1051"/>
      <c r="K11" s="1051"/>
      <c r="L11" s="1051"/>
      <c r="M11" s="1051"/>
      <c r="N11" s="1051"/>
      <c r="O11" s="1051"/>
      <c r="P11" s="1247" t="s">
        <v>1002</v>
      </c>
      <c r="Q11" s="1247"/>
      <c r="R11" s="1075">
        <f>+Q14+P15</f>
        <v>0</v>
      </c>
    </row>
    <row r="12" spans="1:23">
      <c r="B12" s="1052" t="s">
        <v>1003</v>
      </c>
      <c r="C12" s="1053"/>
      <c r="D12" s="1053"/>
      <c r="E12" s="1053"/>
      <c r="F12" s="1053"/>
      <c r="G12" s="1053"/>
      <c r="H12" s="1053"/>
      <c r="I12" s="1053"/>
      <c r="J12" s="1053"/>
      <c r="K12" s="1053"/>
      <c r="L12" s="1053"/>
      <c r="M12" s="1053"/>
      <c r="N12" s="1053"/>
      <c r="O12" s="1053"/>
      <c r="P12" s="1053"/>
      <c r="Q12" s="1053"/>
      <c r="R12" s="1019"/>
      <c r="S12" s="1019"/>
      <c r="T12" s="1019"/>
      <c r="U12" s="1019"/>
      <c r="V12" s="1019"/>
      <c r="W12" s="1019"/>
    </row>
    <row r="13" spans="1:23">
      <c r="A13" s="1040" t="s">
        <v>1004</v>
      </c>
      <c r="B13" s="1054" t="s">
        <v>1005</v>
      </c>
      <c r="C13" s="1040" t="s">
        <v>1449</v>
      </c>
      <c r="D13" s="1040" t="s">
        <v>1007</v>
      </c>
      <c r="E13" s="1040" t="s">
        <v>1008</v>
      </c>
      <c r="F13" s="1041"/>
      <c r="I13" s="1022">
        <v>69718181.43447721</v>
      </c>
      <c r="J13" s="1055"/>
      <c r="K13" s="1022"/>
      <c r="L13" s="1022"/>
      <c r="M13" s="1022">
        <v>-2076544.1199999996</v>
      </c>
      <c r="N13" s="1022"/>
      <c r="O13" s="1022"/>
      <c r="P13" s="1056">
        <f>SUM(I13:O13)</f>
        <v>67641637.314477205</v>
      </c>
      <c r="Q13" s="1057"/>
      <c r="R13" s="1023" t="s">
        <v>1139</v>
      </c>
      <c r="S13" s="1019"/>
      <c r="T13" s="1019"/>
      <c r="U13" s="1019"/>
      <c r="V13" s="1019"/>
      <c r="W13" s="1019"/>
    </row>
    <row r="14" spans="1:23">
      <c r="A14" s="1040" t="s">
        <v>1009</v>
      </c>
      <c r="B14" s="1054" t="s">
        <v>1010</v>
      </c>
      <c r="C14" s="1045" t="s">
        <v>1011</v>
      </c>
      <c r="D14" s="1045" t="s">
        <v>1012</v>
      </c>
      <c r="E14" s="1040" t="s">
        <v>1008</v>
      </c>
      <c r="F14" s="1058">
        <v>-11772442</v>
      </c>
      <c r="G14" s="1059" t="s">
        <v>1019</v>
      </c>
      <c r="H14" s="1059" t="s">
        <v>1020</v>
      </c>
      <c r="I14" s="1057"/>
      <c r="J14" s="1023">
        <v>-4855568.8090673992</v>
      </c>
      <c r="K14" s="1024"/>
      <c r="L14" s="1024"/>
      <c r="M14" s="1024"/>
      <c r="N14" s="1024">
        <v>1136985.1485142894</v>
      </c>
      <c r="O14" s="1024"/>
      <c r="P14" s="1057"/>
      <c r="Q14" s="1056">
        <f>SUM(J14:P14)</f>
        <v>-3718583.6605531098</v>
      </c>
      <c r="R14" s="1023"/>
      <c r="S14" s="1019"/>
      <c r="T14" s="1019"/>
      <c r="U14" s="1019"/>
      <c r="V14" s="1019"/>
      <c r="W14" s="1019"/>
    </row>
    <row r="15" spans="1:23">
      <c r="A15" s="1040" t="s">
        <v>1013</v>
      </c>
      <c r="B15" s="1054" t="s">
        <v>1014</v>
      </c>
      <c r="C15" s="1045" t="s">
        <v>1015</v>
      </c>
      <c r="D15" s="1045" t="s">
        <v>1012</v>
      </c>
      <c r="E15" s="1040" t="s">
        <v>1008</v>
      </c>
      <c r="F15" s="1041"/>
      <c r="I15" s="1023">
        <v>4855568.8090674011</v>
      </c>
      <c r="J15" s="1057"/>
      <c r="K15" s="1024"/>
      <c r="L15" s="1024"/>
      <c r="M15" s="1024">
        <v>-1136985.1485142894</v>
      </c>
      <c r="N15" s="1024"/>
      <c r="O15" s="1024"/>
      <c r="P15" s="1056">
        <f>SUM(I15:O15)</f>
        <v>3718583.6605531117</v>
      </c>
      <c r="Q15" s="1063"/>
      <c r="R15" s="1023" t="s">
        <v>1063</v>
      </c>
      <c r="S15" s="1019"/>
      <c r="T15" s="1019"/>
      <c r="U15" s="1019"/>
      <c r="V15" s="1019"/>
      <c r="W15" s="1019"/>
    </row>
    <row r="16" spans="1:23">
      <c r="A16" s="1040" t="s">
        <v>1016</v>
      </c>
      <c r="B16" s="1054" t="s">
        <v>1017</v>
      </c>
      <c r="C16" s="1040" t="s">
        <v>1018</v>
      </c>
      <c r="D16" s="1040" t="s">
        <v>1012</v>
      </c>
      <c r="E16" s="1040" t="s">
        <v>1008</v>
      </c>
      <c r="F16" s="1058">
        <v>-410365997</v>
      </c>
      <c r="G16" s="1059" t="s">
        <v>1019</v>
      </c>
      <c r="H16" s="1059" t="s">
        <v>1020</v>
      </c>
      <c r="I16" s="1057"/>
      <c r="J16" s="1025">
        <v>-197115694.83450767</v>
      </c>
      <c r="K16" s="1025"/>
      <c r="L16" s="1025"/>
      <c r="M16" s="1025"/>
      <c r="N16" s="1025">
        <v>-47207576.255813405</v>
      </c>
      <c r="O16" s="1025"/>
      <c r="P16" s="1057"/>
      <c r="Q16" s="1026">
        <f>SUM(J16:O16)</f>
        <v>-244323271.09032106</v>
      </c>
      <c r="R16" s="1249" t="s">
        <v>1141</v>
      </c>
      <c r="S16" s="1019"/>
      <c r="T16" s="1019"/>
      <c r="U16" s="1019"/>
      <c r="V16" s="1019"/>
      <c r="W16" s="1019"/>
    </row>
    <row r="17" spans="1:23">
      <c r="A17" s="1040" t="s">
        <v>1021</v>
      </c>
      <c r="B17" s="1054" t="s">
        <v>1017</v>
      </c>
      <c r="C17" s="1040" t="s">
        <v>1018</v>
      </c>
      <c r="D17" s="1040" t="s">
        <v>1022</v>
      </c>
      <c r="E17" s="1040" t="s">
        <v>1008</v>
      </c>
      <c r="F17" s="1027">
        <v>-148924633</v>
      </c>
      <c r="G17" s="1059" t="s">
        <v>1023</v>
      </c>
      <c r="H17" s="1059" t="s">
        <v>1024</v>
      </c>
      <c r="I17" s="1057"/>
      <c r="J17" s="1024">
        <v>-12761329.784188995</v>
      </c>
      <c r="K17" s="1024"/>
      <c r="L17" s="1024"/>
      <c r="M17" s="1024"/>
      <c r="N17" s="1024">
        <v>5263237.389573466</v>
      </c>
      <c r="O17" s="1024"/>
      <c r="P17" s="1057"/>
      <c r="Q17" s="1028">
        <f>SUM(J17:O17)</f>
        <v>-7498092.3946155291</v>
      </c>
      <c r="R17" s="1249"/>
      <c r="S17" s="1019"/>
      <c r="T17" s="1019"/>
      <c r="U17" s="1019"/>
      <c r="V17" s="1019"/>
      <c r="W17" s="1019"/>
    </row>
    <row r="18" spans="1:23">
      <c r="A18" s="1040" t="s">
        <v>1025</v>
      </c>
      <c r="B18" s="1054" t="s">
        <v>1026</v>
      </c>
      <c r="C18" s="1040" t="s">
        <v>1027</v>
      </c>
      <c r="D18" s="1040" t="s">
        <v>1012</v>
      </c>
      <c r="E18" s="1040" t="s">
        <v>1008</v>
      </c>
      <c r="F18" s="1027"/>
      <c r="G18" s="1059"/>
      <c r="H18" s="1059"/>
      <c r="I18" s="1024">
        <v>197192514.83450773</v>
      </c>
      <c r="J18" s="1057"/>
      <c r="K18" s="1024"/>
      <c r="L18" s="1024"/>
      <c r="M18" s="1024">
        <v>47207576.255813383</v>
      </c>
      <c r="N18" s="1024"/>
      <c r="O18" s="1024"/>
      <c r="P18" s="1061">
        <f>SUM(I18:O18)</f>
        <v>244400091.09032112</v>
      </c>
      <c r="Q18" s="1057"/>
      <c r="R18" s="1251" t="s">
        <v>1140</v>
      </c>
      <c r="S18" s="1019"/>
      <c r="T18" s="1019"/>
      <c r="U18" s="1019"/>
      <c r="V18" s="1019"/>
      <c r="W18" s="1019"/>
    </row>
    <row r="19" spans="1:23">
      <c r="A19" s="1040" t="s">
        <v>1028</v>
      </c>
      <c r="B19" s="1054" t="s">
        <v>1026</v>
      </c>
      <c r="C19" s="1040" t="s">
        <v>1027</v>
      </c>
      <c r="D19" s="1040" t="s">
        <v>1022</v>
      </c>
      <c r="E19" s="1040" t="s">
        <v>1008</v>
      </c>
      <c r="F19" s="1027"/>
      <c r="G19" s="1059"/>
      <c r="H19" s="1059"/>
      <c r="I19" s="1024">
        <v>12761329.784188995</v>
      </c>
      <c r="J19" s="1057"/>
      <c r="K19" s="1024"/>
      <c r="L19" s="1024"/>
      <c r="M19" s="1024">
        <v>-5263237.389573466</v>
      </c>
      <c r="N19" s="1024"/>
      <c r="O19" s="1024"/>
      <c r="P19" s="1061">
        <f>SUM(I19:O19)</f>
        <v>7498092.3946155291</v>
      </c>
      <c r="Q19" s="1057"/>
      <c r="R19" s="1251"/>
      <c r="S19" s="1019"/>
      <c r="T19" s="1019"/>
      <c r="U19" s="1019"/>
      <c r="V19" s="1019"/>
      <c r="W19" s="1019"/>
    </row>
    <row r="20" spans="1:23">
      <c r="A20" s="1040" t="s">
        <v>1029</v>
      </c>
      <c r="B20" s="1054" t="s">
        <v>1030</v>
      </c>
      <c r="C20" s="1040" t="s">
        <v>1031</v>
      </c>
      <c r="D20" s="1040" t="s">
        <v>1022</v>
      </c>
      <c r="E20" s="1040" t="s">
        <v>1008</v>
      </c>
      <c r="F20" s="1027">
        <v>-5353470</v>
      </c>
      <c r="G20" s="1059" t="s">
        <v>1023</v>
      </c>
      <c r="H20" s="1059" t="s">
        <v>1024</v>
      </c>
      <c r="I20" s="1057" t="s">
        <v>115</v>
      </c>
      <c r="J20" s="1024">
        <v>3866615.6712877988</v>
      </c>
      <c r="K20" s="1024"/>
      <c r="L20" s="1024"/>
      <c r="M20" s="1024"/>
      <c r="N20" s="1024">
        <v>-2711244.8948700102</v>
      </c>
      <c r="O20" s="1024"/>
      <c r="P20" s="1060" t="s">
        <v>115</v>
      </c>
      <c r="Q20" s="1028">
        <f>SUM(J20:O20)</f>
        <v>1155370.7764177886</v>
      </c>
      <c r="R20" s="1023" t="s">
        <v>1142</v>
      </c>
      <c r="S20" s="1019"/>
      <c r="T20" s="1019"/>
      <c r="U20" s="1019"/>
      <c r="V20" s="1019"/>
      <c r="W20" s="1019"/>
    </row>
    <row r="21" spans="1:23">
      <c r="A21" s="1040" t="s">
        <v>1032</v>
      </c>
      <c r="B21" s="1054" t="s">
        <v>1033</v>
      </c>
      <c r="C21" s="1040" t="s">
        <v>1034</v>
      </c>
      <c r="D21" s="1040" t="s">
        <v>1022</v>
      </c>
      <c r="E21" s="1040" t="s">
        <v>1008</v>
      </c>
      <c r="F21" s="1058"/>
      <c r="G21" s="1059"/>
      <c r="H21" s="1059"/>
      <c r="I21" s="1024">
        <v>-3866614.6712878007</v>
      </c>
      <c r="J21" s="1062"/>
      <c r="K21" s="1024"/>
      <c r="L21" s="1024"/>
      <c r="M21" s="1024">
        <v>2711244.8948700102</v>
      </c>
      <c r="N21" s="1024"/>
      <c r="O21" s="1024"/>
      <c r="P21" s="1061">
        <f>SUM(I21:O21)</f>
        <v>-1155369.7764177904</v>
      </c>
      <c r="Q21" s="1060"/>
      <c r="R21" s="1029" t="s">
        <v>1143</v>
      </c>
      <c r="S21" s="1019"/>
      <c r="T21" s="1019"/>
      <c r="U21" s="1019"/>
      <c r="V21" s="1019"/>
      <c r="W21" s="1019"/>
    </row>
    <row r="22" spans="1:23">
      <c r="A22" s="1176" t="s">
        <v>1035</v>
      </c>
      <c r="B22" s="1189" t="s">
        <v>1118</v>
      </c>
      <c r="C22" s="1176" t="s">
        <v>1442</v>
      </c>
      <c r="D22" s="1176" t="s">
        <v>1446</v>
      </c>
      <c r="E22" s="1176" t="s">
        <v>1008</v>
      </c>
      <c r="F22" s="1177"/>
      <c r="G22" s="1178"/>
      <c r="H22" s="1178"/>
      <c r="I22" s="1179"/>
      <c r="J22" s="1180"/>
      <c r="K22" s="1180"/>
      <c r="L22" s="1180"/>
      <c r="M22" s="1180"/>
      <c r="N22" s="1180">
        <v>91120061.323027357</v>
      </c>
      <c r="O22" s="1180"/>
      <c r="P22" s="1181"/>
      <c r="Q22" s="1182">
        <f>SUM(J22:O22)</f>
        <v>91120061.323027357</v>
      </c>
      <c r="R22" s="1029"/>
      <c r="S22" s="1019"/>
      <c r="T22" s="1019"/>
      <c r="U22" s="1019"/>
      <c r="V22" s="1019"/>
      <c r="W22" s="1019"/>
    </row>
    <row r="23" spans="1:23">
      <c r="A23" s="1176" t="s">
        <v>1451</v>
      </c>
      <c r="B23" s="1189" t="s">
        <v>1443</v>
      </c>
      <c r="C23" s="1176" t="s">
        <v>1006</v>
      </c>
      <c r="D23" s="1176" t="s">
        <v>1446</v>
      </c>
      <c r="E23" s="1176" t="s">
        <v>1008</v>
      </c>
      <c r="F23" s="1177"/>
      <c r="G23" s="1178"/>
      <c r="H23" s="1178"/>
      <c r="I23" s="1180"/>
      <c r="J23" s="1179"/>
      <c r="K23" s="1180"/>
      <c r="L23" s="1180">
        <v>-91120061.323027357</v>
      </c>
      <c r="M23" s="1180"/>
      <c r="N23" s="1180"/>
      <c r="O23" s="1180"/>
      <c r="P23" s="1182">
        <f t="shared" ref="P23:P26" si="0">SUM(I23:O23)</f>
        <v>-91120061.323027357</v>
      </c>
      <c r="Q23" s="1181"/>
      <c r="R23" s="1029"/>
      <c r="S23" s="1019"/>
      <c r="T23" s="1019"/>
      <c r="U23" s="1019"/>
      <c r="V23" s="1019"/>
      <c r="W23" s="1019"/>
    </row>
    <row r="24" spans="1:23">
      <c r="A24" s="1176" t="s">
        <v>1452</v>
      </c>
      <c r="B24" s="1189" t="s">
        <v>1444</v>
      </c>
      <c r="C24" s="1176" t="s">
        <v>1445</v>
      </c>
      <c r="D24" s="1176" t="s">
        <v>1446</v>
      </c>
      <c r="E24" s="1176" t="s">
        <v>1447</v>
      </c>
      <c r="F24" s="1177"/>
      <c r="G24" s="1178"/>
      <c r="H24" s="1178"/>
      <c r="I24" s="1180"/>
      <c r="J24" s="1179"/>
      <c r="K24" s="1180"/>
      <c r="L24" s="1180"/>
      <c r="M24" s="1180">
        <v>16132587.43</v>
      </c>
      <c r="N24" s="1180"/>
      <c r="O24" s="1180"/>
      <c r="P24" s="1182">
        <f t="shared" si="0"/>
        <v>16132587.43</v>
      </c>
      <c r="Q24" s="1181"/>
      <c r="R24" s="1029"/>
      <c r="S24" s="1019"/>
      <c r="T24" s="1019"/>
      <c r="U24" s="1019"/>
      <c r="V24" s="1019"/>
      <c r="W24" s="1019"/>
    </row>
    <row r="25" spans="1:23">
      <c r="A25" s="1176" t="s">
        <v>1453</v>
      </c>
      <c r="B25" s="1189" t="s">
        <v>1448</v>
      </c>
      <c r="C25" s="1176" t="s">
        <v>1449</v>
      </c>
      <c r="D25" s="1176" t="s">
        <v>1446</v>
      </c>
      <c r="E25" s="1176" t="s">
        <v>1008</v>
      </c>
      <c r="F25" s="1177"/>
      <c r="G25" s="1178"/>
      <c r="H25" s="1178"/>
      <c r="I25" s="1180"/>
      <c r="J25" s="1179"/>
      <c r="K25" s="1180"/>
      <c r="L25" s="1180">
        <v>-24221788.452956632</v>
      </c>
      <c r="M25" s="1180"/>
      <c r="N25" s="1180"/>
      <c r="O25" s="1180"/>
      <c r="P25" s="1182">
        <f t="shared" si="0"/>
        <v>-24221788.452956632</v>
      </c>
      <c r="Q25" s="1181"/>
      <c r="R25" s="1029"/>
      <c r="S25" s="1019"/>
      <c r="T25" s="1019"/>
      <c r="U25" s="1019"/>
      <c r="V25" s="1019"/>
      <c r="W25" s="1019"/>
    </row>
    <row r="26" spans="1:23">
      <c r="A26" s="1183" t="s">
        <v>1454</v>
      </c>
      <c r="B26" s="1189" t="s">
        <v>1450</v>
      </c>
      <c r="C26" s="1176" t="s">
        <v>1445</v>
      </c>
      <c r="D26" s="1176" t="s">
        <v>1446</v>
      </c>
      <c r="E26" s="1176" t="s">
        <v>1447</v>
      </c>
      <c r="F26" s="1177"/>
      <c r="G26" s="1178"/>
      <c r="H26" s="1178"/>
      <c r="I26" s="1180"/>
      <c r="J26" s="1179"/>
      <c r="K26" s="1180"/>
      <c r="L26" s="1180">
        <v>-5776917.5006636977</v>
      </c>
      <c r="M26" s="1180"/>
      <c r="N26" s="1180"/>
      <c r="O26" s="1180"/>
      <c r="P26" s="1182">
        <f t="shared" si="0"/>
        <v>-5776917.5006636977</v>
      </c>
      <c r="Q26" s="1181"/>
      <c r="R26" s="1029"/>
      <c r="S26" s="1019"/>
      <c r="T26" s="1019"/>
      <c r="U26" s="1019"/>
      <c r="V26" s="1019"/>
      <c r="W26" s="1019"/>
    </row>
    <row r="27" spans="1:23">
      <c r="A27" s="1183" t="s">
        <v>1455</v>
      </c>
      <c r="B27" s="1059" t="s">
        <v>1154</v>
      </c>
      <c r="F27" s="1058"/>
      <c r="G27" s="1059"/>
      <c r="H27" s="1059"/>
      <c r="I27" s="1024"/>
      <c r="J27" s="1024"/>
      <c r="K27" s="1024"/>
      <c r="L27" s="1024"/>
      <c r="M27" s="1024"/>
      <c r="N27" s="1024"/>
      <c r="O27" s="1024"/>
      <c r="P27" s="1063"/>
      <c r="Q27" s="1061"/>
      <c r="R27" s="1029"/>
      <c r="S27" s="1019"/>
      <c r="T27" s="1019"/>
      <c r="U27" s="1019"/>
      <c r="V27" s="1019"/>
      <c r="W27" s="1019"/>
    </row>
    <row r="28" spans="1:23" ht="12.75">
      <c r="B28"/>
      <c r="C28"/>
      <c r="D28"/>
      <c r="E28"/>
      <c r="F28"/>
      <c r="G28"/>
      <c r="H28"/>
      <c r="I28"/>
      <c r="J28"/>
      <c r="K28"/>
      <c r="L28"/>
      <c r="M28"/>
      <c r="N28"/>
      <c r="O28"/>
      <c r="P28" s="1076"/>
      <c r="Q28"/>
      <c r="R28"/>
      <c r="S28" s="1019"/>
      <c r="T28" s="1019"/>
      <c r="U28" s="1019"/>
      <c r="V28" s="1019"/>
      <c r="W28" s="1019"/>
    </row>
    <row r="29" spans="1:23" s="1019" customFormat="1">
      <c r="A29" s="1040"/>
      <c r="B29" s="1052" t="s">
        <v>1036</v>
      </c>
      <c r="R29" s="1030"/>
    </row>
    <row r="30" spans="1:23" ht="11.45" customHeight="1">
      <c r="A30" s="1040" t="s">
        <v>1037</v>
      </c>
      <c r="B30" s="1041">
        <v>182.3</v>
      </c>
      <c r="C30" s="1064" t="s">
        <v>1038</v>
      </c>
      <c r="D30" s="1057" t="s">
        <v>115</v>
      </c>
      <c r="E30" s="1040" t="s">
        <v>1008</v>
      </c>
      <c r="F30" s="1057"/>
      <c r="G30" s="1057" t="s">
        <v>115</v>
      </c>
      <c r="H30" s="1057"/>
      <c r="I30" s="1031">
        <v>0</v>
      </c>
      <c r="J30" s="1057"/>
      <c r="K30" s="1024"/>
      <c r="L30" s="1024">
        <v>121118767.27664769</v>
      </c>
      <c r="M30" s="1024"/>
      <c r="N30" s="1057"/>
      <c r="O30" s="1057"/>
      <c r="P30" s="1063">
        <f>SUM(I30:O30)</f>
        <v>121118767.27664769</v>
      </c>
      <c r="Q30" s="1065"/>
      <c r="R30" s="1023" t="s">
        <v>1039</v>
      </c>
      <c r="S30" s="1019"/>
      <c r="T30" s="1019"/>
      <c r="U30" s="1019"/>
      <c r="V30" s="1019"/>
      <c r="W30" s="1019"/>
    </row>
    <row r="31" spans="1:23" ht="11.45" customHeight="1">
      <c r="A31" s="1040" t="s">
        <v>1040</v>
      </c>
      <c r="B31" s="1041">
        <v>254</v>
      </c>
      <c r="C31" s="1064" t="s">
        <v>1041</v>
      </c>
      <c r="D31" s="1057" t="s">
        <v>115</v>
      </c>
      <c r="E31" s="1040" t="s">
        <v>1008</v>
      </c>
      <c r="F31" s="1057"/>
      <c r="G31" s="1057" t="s">
        <v>115</v>
      </c>
      <c r="H31" s="1057"/>
      <c r="I31" s="1031">
        <v>-280660979.19095355</v>
      </c>
      <c r="J31" s="1057"/>
      <c r="K31" s="1024"/>
      <c r="L31" s="1024"/>
      <c r="M31" s="1024">
        <v>-41442054.492595643</v>
      </c>
      <c r="N31" s="1057"/>
      <c r="O31" s="1057"/>
      <c r="P31" s="1063">
        <f>SUM(I31:O31)</f>
        <v>-322103033.68354917</v>
      </c>
      <c r="Q31" s="1065"/>
      <c r="R31" s="1023" t="s">
        <v>1039</v>
      </c>
      <c r="S31" s="1019"/>
      <c r="T31" s="1019"/>
      <c r="U31" s="1019"/>
      <c r="V31" s="1019"/>
      <c r="W31" s="1019"/>
    </row>
    <row r="32" spans="1:23" ht="11.45" customHeight="1">
      <c r="A32" s="1040" t="s">
        <v>1042</v>
      </c>
      <c r="B32" s="1192">
        <v>254.00020000000001</v>
      </c>
      <c r="C32" s="1193" t="s">
        <v>1471</v>
      </c>
      <c r="D32" s="1194"/>
      <c r="E32" s="1176" t="s">
        <v>1447</v>
      </c>
      <c r="F32" s="1194"/>
      <c r="G32" s="1194"/>
      <c r="H32" s="1194"/>
      <c r="I32" s="1195">
        <v>0</v>
      </c>
      <c r="J32" s="1194"/>
      <c r="K32" s="1180"/>
      <c r="L32" s="1180"/>
      <c r="M32" s="1024">
        <v>-16132587.43</v>
      </c>
      <c r="N32" s="1194"/>
      <c r="O32" s="1194"/>
      <c r="P32" s="1196">
        <f>SUM(I32:O32)</f>
        <v>-16132587.43</v>
      </c>
      <c r="Q32" s="1065"/>
      <c r="R32" s="1023"/>
      <c r="S32" s="1019"/>
      <c r="T32" s="1019"/>
      <c r="U32" s="1019"/>
      <c r="V32" s="1019"/>
      <c r="W32" s="1019"/>
    </row>
    <row r="33" spans="1:23" ht="11.45" customHeight="1">
      <c r="A33" s="1040" t="s">
        <v>1470</v>
      </c>
      <c r="B33" s="1059" t="s">
        <v>1154</v>
      </c>
      <c r="C33" s="1064"/>
      <c r="D33" s="1057"/>
      <c r="F33" s="1057"/>
      <c r="G33" s="1057"/>
      <c r="H33" s="1057"/>
      <c r="I33" s="1024"/>
      <c r="J33" s="1057"/>
      <c r="K33" s="1024"/>
      <c r="L33" s="1024"/>
      <c r="M33" s="1024"/>
      <c r="N33" s="1057"/>
      <c r="O33" s="1057"/>
      <c r="P33" s="1065"/>
      <c r="Q33" s="1065"/>
      <c r="R33" s="1023"/>
      <c r="S33" s="1019"/>
      <c r="T33" s="1019"/>
      <c r="U33" s="1019"/>
      <c r="V33" s="1019"/>
      <c r="W33" s="1019"/>
    </row>
    <row r="34" spans="1:23">
      <c r="C34" s="1064"/>
      <c r="D34" s="1045"/>
      <c r="E34" s="1045"/>
      <c r="F34" s="1045"/>
      <c r="G34" s="1045"/>
      <c r="H34" s="1045"/>
      <c r="I34" s="1045"/>
      <c r="J34" s="1045"/>
      <c r="K34" s="1045"/>
      <c r="L34" s="1045"/>
      <c r="M34" s="1045"/>
      <c r="N34" s="1045"/>
      <c r="O34" s="1045"/>
      <c r="P34" s="1045"/>
      <c r="Q34" s="1045"/>
      <c r="R34" s="1066"/>
      <c r="S34" s="1019"/>
      <c r="T34" s="1019"/>
      <c r="U34" s="1019"/>
      <c r="V34" s="1019"/>
      <c r="W34" s="1019"/>
    </row>
    <row r="35" spans="1:23" ht="12.75" thickBot="1">
      <c r="A35" s="1067">
        <v>3</v>
      </c>
      <c r="B35" s="1250" t="str">
        <f>"Total For Accounting Entires (Sum of Lines "&amp;A13&amp;" through "&amp;A31&amp;")"</f>
        <v>Total For Accounting Entires (Sum of Lines 1a through 2b)</v>
      </c>
      <c r="C35" s="1250"/>
      <c r="D35" s="1057"/>
      <c r="E35" s="1057"/>
      <c r="F35" s="1057"/>
      <c r="G35" s="1057"/>
      <c r="H35" s="1057"/>
      <c r="I35" s="1032">
        <f>SUM(I13:I34)</f>
        <v>1</v>
      </c>
      <c r="J35" s="1033">
        <f>SUM(J13:J34)</f>
        <v>-210865977.75647625</v>
      </c>
      <c r="K35" s="1034">
        <f>SUM(K13:K34)</f>
        <v>0</v>
      </c>
      <c r="L35" s="1034">
        <f>SUM(L13:L34)</f>
        <v>0</v>
      </c>
      <c r="M35" s="1034">
        <f>SUM(M13:M34)</f>
        <v>0</v>
      </c>
      <c r="N35" s="1035">
        <f>-SUM(N13:N34)</f>
        <v>-47601462.710431695</v>
      </c>
      <c r="O35" s="1033">
        <f>-SUM(O13:O34)</f>
        <v>0</v>
      </c>
      <c r="P35" s="1034">
        <f>SUM(P13:P34)</f>
        <v>1.0000000074505806</v>
      </c>
      <c r="Q35" s="1033">
        <f>SUM(Q13:Q34)</f>
        <v>-163264515.04604453</v>
      </c>
      <c r="R35" s="1068"/>
      <c r="S35" s="1019"/>
      <c r="T35" s="1019"/>
      <c r="U35" s="1019"/>
      <c r="V35" s="1019"/>
      <c r="W35" s="1019"/>
    </row>
    <row r="36" spans="1:23" ht="12.75" thickTop="1">
      <c r="C36" s="1064"/>
      <c r="D36" s="1045"/>
      <c r="E36" s="1045"/>
      <c r="F36" s="1045"/>
      <c r="G36" s="1045"/>
      <c r="H36" s="1045"/>
      <c r="I36" s="1036"/>
      <c r="J36" s="1027"/>
      <c r="K36" s="1037"/>
      <c r="L36" s="1037"/>
      <c r="M36" s="1037"/>
      <c r="N36" s="1134" t="s">
        <v>1059</v>
      </c>
      <c r="O36" s="1038"/>
      <c r="P36" s="1037"/>
      <c r="Q36" s="1039"/>
      <c r="R36" s="1068"/>
      <c r="S36" s="1019"/>
      <c r="T36" s="1019"/>
      <c r="U36" s="1019"/>
      <c r="V36" s="1019"/>
      <c r="W36" s="1019"/>
    </row>
    <row r="37" spans="1:23">
      <c r="A37" s="1059" t="s">
        <v>1043</v>
      </c>
      <c r="C37" s="1064"/>
      <c r="D37" s="1045"/>
      <c r="E37" s="1045"/>
      <c r="F37" s="1045"/>
      <c r="G37" s="1045"/>
      <c r="H37" s="1045"/>
      <c r="I37" s="1036"/>
      <c r="J37" s="1027"/>
      <c r="K37" s="1037"/>
      <c r="L37" s="1037"/>
      <c r="M37" s="1037"/>
      <c r="N37" s="1027"/>
      <c r="O37" s="1027"/>
      <c r="P37" s="1037"/>
      <c r="Q37" s="1039"/>
      <c r="R37" s="1068"/>
      <c r="S37" s="1019"/>
      <c r="T37" s="1019"/>
      <c r="U37" s="1019"/>
      <c r="V37" s="1019"/>
      <c r="W37" s="1019"/>
    </row>
    <row r="38" spans="1:23">
      <c r="B38" s="1040"/>
      <c r="D38" s="1051"/>
      <c r="E38" s="1051"/>
      <c r="F38" s="1051"/>
      <c r="G38" s="1051"/>
      <c r="H38" s="1051"/>
      <c r="I38" s="1051"/>
      <c r="J38" s="1051"/>
      <c r="K38" s="1051"/>
      <c r="L38" s="1051"/>
      <c r="M38" s="1051"/>
      <c r="N38" s="1051"/>
      <c r="O38" s="1051"/>
      <c r="P38" s="1247" t="s">
        <v>1002</v>
      </c>
      <c r="Q38" s="1247"/>
      <c r="R38" s="1050"/>
      <c r="S38" s="1019"/>
      <c r="T38" s="1019"/>
      <c r="U38" s="1019"/>
      <c r="V38" s="1019"/>
      <c r="W38" s="1019"/>
    </row>
    <row r="39" spans="1:23">
      <c r="B39" s="1052" t="s">
        <v>1003</v>
      </c>
      <c r="C39" s="1053"/>
      <c r="D39" s="1053"/>
      <c r="E39" s="1053"/>
      <c r="F39" s="1053"/>
      <c r="G39" s="1053"/>
      <c r="H39" s="1053"/>
      <c r="I39" s="1053"/>
      <c r="J39" s="1053"/>
      <c r="K39" s="1053"/>
      <c r="L39" s="1053"/>
      <c r="M39" s="1053"/>
      <c r="N39" s="1053"/>
      <c r="O39" s="1053"/>
      <c r="P39" s="1053"/>
      <c r="Q39" s="1053"/>
      <c r="R39" s="1019"/>
      <c r="S39" s="1019"/>
      <c r="T39" s="1019"/>
      <c r="U39" s="1019"/>
      <c r="V39" s="1019"/>
      <c r="W39" s="1019"/>
    </row>
    <row r="40" spans="1:23">
      <c r="A40" s="1040" t="s">
        <v>1044</v>
      </c>
      <c r="B40" s="1054" t="s">
        <v>1005</v>
      </c>
      <c r="C40" s="1040" t="s">
        <v>1449</v>
      </c>
      <c r="D40" s="1040" t="s">
        <v>1007</v>
      </c>
      <c r="E40" s="1040" t="s">
        <v>1008</v>
      </c>
      <c r="F40" s="1041"/>
      <c r="I40" s="1024">
        <v>21590129.420628443</v>
      </c>
      <c r="J40" s="1062"/>
      <c r="K40" s="1024"/>
      <c r="L40" s="1024"/>
      <c r="M40" s="1024">
        <v>-4783922.3</v>
      </c>
      <c r="N40" s="1024"/>
      <c r="O40" s="1024"/>
      <c r="P40" s="1061">
        <f>SUM(I40:O40)</f>
        <v>16806207.120628443</v>
      </c>
      <c r="Q40" s="1057"/>
      <c r="R40" s="1023" t="s">
        <v>631</v>
      </c>
      <c r="S40" s="1019"/>
      <c r="T40" s="1019"/>
      <c r="U40" s="1019"/>
      <c r="V40" s="1019"/>
      <c r="W40" s="1019"/>
    </row>
    <row r="41" spans="1:23">
      <c r="A41" s="1040" t="s">
        <v>1045</v>
      </c>
      <c r="B41" s="1054" t="s">
        <v>1017</v>
      </c>
      <c r="C41" s="1040" t="s">
        <v>1018</v>
      </c>
      <c r="D41" s="1040" t="s">
        <v>1012</v>
      </c>
      <c r="E41" s="1040" t="s">
        <v>1008</v>
      </c>
      <c r="F41" s="1058">
        <v>-82304124</v>
      </c>
      <c r="G41" s="1059" t="s">
        <v>1019</v>
      </c>
      <c r="H41" s="1059" t="s">
        <v>1020</v>
      </c>
      <c r="I41" s="1057"/>
      <c r="J41" s="1024">
        <v>-58204388.057072431</v>
      </c>
      <c r="K41" s="1024"/>
      <c r="L41" s="1024"/>
      <c r="M41" s="1024"/>
      <c r="N41" s="1024">
        <v>1122578.0000000009</v>
      </c>
      <c r="O41" s="1024">
        <v>0</v>
      </c>
      <c r="P41" s="1057"/>
      <c r="Q41" s="1028">
        <f>SUM(J41:O41)</f>
        <v>-57081810.057072431</v>
      </c>
      <c r="R41" s="1252" t="s">
        <v>1144</v>
      </c>
      <c r="S41" s="1019"/>
      <c r="T41" s="1019"/>
      <c r="U41" s="1019"/>
      <c r="V41" s="1019"/>
      <c r="W41" s="1019"/>
    </row>
    <row r="42" spans="1:23">
      <c r="A42" s="1040" t="s">
        <v>1046</v>
      </c>
      <c r="B42" s="1054" t="s">
        <v>1017</v>
      </c>
      <c r="C42" s="1040" t="s">
        <v>1018</v>
      </c>
      <c r="D42" s="1040" t="s">
        <v>1022</v>
      </c>
      <c r="E42" s="1040" t="s">
        <v>1008</v>
      </c>
      <c r="F42" s="1027">
        <v>-14907164</v>
      </c>
      <c r="G42" s="1059" t="s">
        <v>1023</v>
      </c>
      <c r="H42" s="1059" t="s">
        <v>1024</v>
      </c>
      <c r="I42" s="1057"/>
      <c r="J42" s="1024">
        <v>-11247136.949362993</v>
      </c>
      <c r="K42" s="1024"/>
      <c r="L42" s="1024"/>
      <c r="M42" s="1024"/>
      <c r="N42" s="1024">
        <v>3749043.7259612274</v>
      </c>
      <c r="O42" s="1024">
        <v>0</v>
      </c>
      <c r="P42" s="1057"/>
      <c r="Q42" s="1028">
        <f>SUM(J42:O42)</f>
        <v>-7498093.2234017663</v>
      </c>
      <c r="R42" s="1252"/>
      <c r="S42" s="1019"/>
      <c r="T42" s="1019"/>
      <c r="U42" s="1019"/>
      <c r="V42" s="1019"/>
      <c r="W42" s="1019"/>
    </row>
    <row r="43" spans="1:23">
      <c r="A43" s="1040" t="s">
        <v>1047</v>
      </c>
      <c r="B43" s="1054" t="s">
        <v>1026</v>
      </c>
      <c r="C43" s="1040" t="s">
        <v>1027</v>
      </c>
      <c r="D43" s="1040" t="s">
        <v>1012</v>
      </c>
      <c r="E43" s="1040" t="s">
        <v>1008</v>
      </c>
      <c r="F43" s="1027"/>
      <c r="G43" s="1059"/>
      <c r="H43" s="1059"/>
      <c r="I43" s="1024">
        <v>58204388.057072431</v>
      </c>
      <c r="J43" s="1057"/>
      <c r="K43" s="1024"/>
      <c r="L43" s="1024"/>
      <c r="M43" s="1024">
        <v>-1122578.0000000012</v>
      </c>
      <c r="N43" s="1024"/>
      <c r="O43" s="1024"/>
      <c r="P43" s="1061">
        <f>SUM(I43:O43)</f>
        <v>57081810.057072431</v>
      </c>
      <c r="Q43" s="1057"/>
      <c r="R43" s="1251" t="s">
        <v>631</v>
      </c>
      <c r="S43" s="1019"/>
      <c r="T43" s="1019"/>
      <c r="U43" s="1019"/>
      <c r="V43" s="1019"/>
      <c r="W43" s="1019"/>
    </row>
    <row r="44" spans="1:23">
      <c r="A44" s="1040" t="s">
        <v>1048</v>
      </c>
      <c r="B44" s="1054" t="s">
        <v>1026</v>
      </c>
      <c r="C44" s="1040" t="s">
        <v>1027</v>
      </c>
      <c r="D44" s="1040" t="s">
        <v>1022</v>
      </c>
      <c r="E44" s="1040" t="s">
        <v>1008</v>
      </c>
      <c r="F44" s="1027"/>
      <c r="G44" s="1059"/>
      <c r="H44" s="1059"/>
      <c r="I44" s="1024">
        <v>11045950.949362993</v>
      </c>
      <c r="J44" s="1057"/>
      <c r="K44" s="1024"/>
      <c r="L44" s="1024"/>
      <c r="M44" s="1024">
        <v>-3749043.7259612274</v>
      </c>
      <c r="N44" s="1024"/>
      <c r="O44" s="1024"/>
      <c r="P44" s="1061">
        <f>SUM(I44:O44)</f>
        <v>7296907.2234017663</v>
      </c>
      <c r="Q44" s="1057"/>
      <c r="R44" s="1251"/>
      <c r="S44" s="1019"/>
      <c r="T44" s="1019"/>
      <c r="U44" s="1019"/>
      <c r="V44" s="1019"/>
      <c r="W44" s="1019"/>
    </row>
    <row r="45" spans="1:23">
      <c r="A45" s="1040" t="s">
        <v>1049</v>
      </c>
      <c r="B45" s="1054" t="s">
        <v>1030</v>
      </c>
      <c r="C45" s="1040" t="s">
        <v>1031</v>
      </c>
      <c r="D45" s="1040" t="s">
        <v>1022</v>
      </c>
      <c r="E45" s="1040" t="s">
        <v>1008</v>
      </c>
      <c r="F45" s="1027">
        <v>5174807</v>
      </c>
      <c r="G45" s="1059" t="s">
        <v>1023</v>
      </c>
      <c r="H45" s="1059" t="s">
        <v>1024</v>
      </c>
      <c r="I45" s="1057" t="s">
        <v>115</v>
      </c>
      <c r="J45" s="1024">
        <v>3926172.8382519046</v>
      </c>
      <c r="K45" s="1024"/>
      <c r="L45" s="1024"/>
      <c r="M45" s="1024"/>
      <c r="N45" s="1024">
        <v>-2770802.2312577711</v>
      </c>
      <c r="O45" s="1024">
        <v>0</v>
      </c>
      <c r="P45" s="1060" t="s">
        <v>115</v>
      </c>
      <c r="Q45" s="1028">
        <f>SUM(J45:O45)</f>
        <v>1155370.6069941334</v>
      </c>
      <c r="R45" s="1029" t="s">
        <v>1145</v>
      </c>
      <c r="S45" s="1019"/>
      <c r="T45" s="1019"/>
      <c r="U45" s="1019"/>
      <c r="V45" s="1019"/>
      <c r="W45" s="1019"/>
    </row>
    <row r="46" spans="1:23">
      <c r="A46" s="1040" t="s">
        <v>1050</v>
      </c>
      <c r="B46" s="1054" t="s">
        <v>1033</v>
      </c>
      <c r="C46" s="1040" t="s">
        <v>1034</v>
      </c>
      <c r="D46" s="1040" t="s">
        <v>1022</v>
      </c>
      <c r="E46" s="1040" t="s">
        <v>1008</v>
      </c>
      <c r="F46" s="1058"/>
      <c r="G46" s="1059"/>
      <c r="H46" s="1059"/>
      <c r="I46" s="1024">
        <v>-3926172.8382519046</v>
      </c>
      <c r="J46" s="1062"/>
      <c r="K46" s="1024"/>
      <c r="L46" s="1024"/>
      <c r="M46" s="1024">
        <v>2770802.2312577711</v>
      </c>
      <c r="N46" s="1024"/>
      <c r="O46" s="1024"/>
      <c r="P46" s="1061">
        <f>SUM(I46:O46)</f>
        <v>-1155370.6069941334</v>
      </c>
      <c r="Q46" s="1060"/>
      <c r="R46" s="1029" t="s">
        <v>631</v>
      </c>
      <c r="S46" s="1019"/>
      <c r="T46" s="1019"/>
      <c r="U46" s="1019"/>
      <c r="V46" s="1019"/>
      <c r="W46" s="1019"/>
    </row>
    <row r="47" spans="1:23" ht="12.75">
      <c r="A47" s="1176" t="s">
        <v>1051</v>
      </c>
      <c r="B47" s="1190" t="s">
        <v>1456</v>
      </c>
      <c r="C47" s="1183" t="s">
        <v>1442</v>
      </c>
      <c r="D47" s="1183" t="s">
        <v>1446</v>
      </c>
      <c r="E47" s="1183" t="s">
        <v>1008</v>
      </c>
      <c r="F47" s="1184"/>
      <c r="G47" s="1185"/>
      <c r="H47" s="1186"/>
      <c r="I47" s="1179"/>
      <c r="J47" s="1180"/>
      <c r="K47" s="1180"/>
      <c r="L47" s="1180"/>
      <c r="M47" s="1180"/>
      <c r="N47" s="1180">
        <v>21913250.631415833</v>
      </c>
      <c r="O47" s="1180"/>
      <c r="P47" s="1187"/>
      <c r="Q47" s="1188">
        <f t="shared" ref="Q47" si="1">SUM(J47:O47)</f>
        <v>21913250.631415833</v>
      </c>
      <c r="R47" s="1029"/>
      <c r="S47" s="1019"/>
      <c r="T47" s="1019"/>
      <c r="U47" s="1019"/>
      <c r="V47" s="1019"/>
      <c r="W47" s="1019"/>
    </row>
    <row r="48" spans="1:23">
      <c r="A48" s="1176" t="s">
        <v>1460</v>
      </c>
      <c r="B48" s="1191" t="s">
        <v>1005</v>
      </c>
      <c r="C48" s="1183" t="s">
        <v>1442</v>
      </c>
      <c r="D48" s="1183" t="s">
        <v>1446</v>
      </c>
      <c r="E48" s="1183" t="s">
        <v>1008</v>
      </c>
      <c r="F48" s="1184"/>
      <c r="G48" s="1185"/>
      <c r="H48" s="1186"/>
      <c r="I48" s="1180"/>
      <c r="J48" s="1179"/>
      <c r="K48" s="1180"/>
      <c r="L48" s="1180">
        <v>-21913250.631415833</v>
      </c>
      <c r="M48" s="1180"/>
      <c r="N48" s="1180"/>
      <c r="O48" s="1180"/>
      <c r="P48" s="1182">
        <f t="shared" ref="P48:P51" si="2">SUM(I48:O48)</f>
        <v>-21913250.631415833</v>
      </c>
      <c r="Q48" s="1187"/>
      <c r="R48" s="1029"/>
      <c r="S48" s="1019"/>
      <c r="T48" s="1019"/>
      <c r="U48" s="1019"/>
      <c r="V48" s="1019"/>
      <c r="W48" s="1019"/>
    </row>
    <row r="49" spans="1:23">
      <c r="A49" s="1176" t="s">
        <v>1461</v>
      </c>
      <c r="B49" s="1191" t="s">
        <v>1457</v>
      </c>
      <c r="C49" s="1183" t="s">
        <v>1445</v>
      </c>
      <c r="D49" s="1183" t="s">
        <v>1446</v>
      </c>
      <c r="E49" s="1176" t="s">
        <v>1447</v>
      </c>
      <c r="F49" s="1184"/>
      <c r="G49" s="1185"/>
      <c r="H49" s="1186"/>
      <c r="I49" s="1180"/>
      <c r="J49" s="1179"/>
      <c r="K49" s="1180"/>
      <c r="L49" s="1180"/>
      <c r="M49" s="1180">
        <v>4008294.4099999997</v>
      </c>
      <c r="N49" s="1180"/>
      <c r="O49" s="1180"/>
      <c r="P49" s="1182">
        <f t="shared" si="2"/>
        <v>4008294.4099999997</v>
      </c>
      <c r="Q49" s="1187"/>
      <c r="R49" s="1029"/>
      <c r="S49" s="1019"/>
      <c r="T49" s="1019"/>
      <c r="U49" s="1019"/>
      <c r="V49" s="1019"/>
      <c r="W49" s="1019"/>
    </row>
    <row r="50" spans="1:23" ht="12.75">
      <c r="A50" s="1176" t="s">
        <v>1462</v>
      </c>
      <c r="B50" s="1191" t="s">
        <v>1458</v>
      </c>
      <c r="C50" t="s">
        <v>1449</v>
      </c>
      <c r="D50" s="1183" t="s">
        <v>1446</v>
      </c>
      <c r="E50" s="1183" t="s">
        <v>1008</v>
      </c>
      <c r="F50" s="1184"/>
      <c r="G50" s="1185"/>
      <c r="H50" s="1186"/>
      <c r="I50" s="1180"/>
      <c r="J50" s="1179"/>
      <c r="K50" s="1180"/>
      <c r="L50" s="1180">
        <v>-5825041.3070852198</v>
      </c>
      <c r="M50" s="1180"/>
      <c r="N50" s="1180"/>
      <c r="O50" s="1180"/>
      <c r="P50" s="1182">
        <f t="shared" si="2"/>
        <v>-5825041.3070852198</v>
      </c>
      <c r="Q50" s="1187"/>
      <c r="R50" s="1029"/>
      <c r="S50" s="1019"/>
      <c r="T50" s="1019"/>
      <c r="U50" s="1019"/>
      <c r="V50" s="1019"/>
      <c r="W50" s="1019"/>
    </row>
    <row r="51" spans="1:23" ht="12.75">
      <c r="A51" s="1183" t="s">
        <v>1463</v>
      </c>
      <c r="B51" s="1191" t="s">
        <v>1459</v>
      </c>
      <c r="C51" t="s">
        <v>1445</v>
      </c>
      <c r="D51" s="1183" t="s">
        <v>1446</v>
      </c>
      <c r="E51" s="1176" t="s">
        <v>1447</v>
      </c>
      <c r="F51" s="1184"/>
      <c r="G51" s="1185"/>
      <c r="H51" s="1186"/>
      <c r="I51" s="1180"/>
      <c r="J51" s="1179"/>
      <c r="K51" s="1180"/>
      <c r="L51" s="1180">
        <v>-1389277.3910706826</v>
      </c>
      <c r="M51" s="1180"/>
      <c r="N51" s="1180"/>
      <c r="O51" s="1180"/>
      <c r="P51" s="1182">
        <f t="shared" si="2"/>
        <v>-1389277.3910706826</v>
      </c>
      <c r="Q51" s="1187"/>
      <c r="R51" s="1029"/>
      <c r="S51" s="1019"/>
      <c r="T51" s="1019"/>
      <c r="U51" s="1019"/>
      <c r="V51" s="1019"/>
      <c r="W51" s="1019"/>
    </row>
    <row r="52" spans="1:23">
      <c r="A52" s="1183" t="s">
        <v>1464</v>
      </c>
      <c r="B52" s="1059" t="s">
        <v>1154</v>
      </c>
      <c r="F52" s="1058"/>
      <c r="G52" s="1059"/>
      <c r="H52" s="1059"/>
      <c r="I52" s="1024"/>
      <c r="J52" s="1024"/>
      <c r="K52" s="1024"/>
      <c r="L52" s="1024"/>
      <c r="M52" s="1024"/>
      <c r="N52" s="1024"/>
      <c r="O52" s="1024"/>
      <c r="P52" s="1063"/>
      <c r="Q52" s="1061"/>
      <c r="R52" s="1029"/>
      <c r="S52" s="1019"/>
      <c r="T52" s="1019"/>
      <c r="U52" s="1019"/>
      <c r="V52" s="1019"/>
      <c r="W52" s="1019"/>
    </row>
    <row r="53" spans="1:23" ht="12.75">
      <c r="B53"/>
      <c r="C53"/>
      <c r="D53"/>
      <c r="E53"/>
      <c r="F53"/>
      <c r="G53"/>
      <c r="H53"/>
      <c r="I53"/>
      <c r="J53"/>
      <c r="K53"/>
      <c r="L53"/>
      <c r="M53"/>
      <c r="N53"/>
      <c r="O53"/>
      <c r="P53"/>
      <c r="Q53"/>
      <c r="R53"/>
      <c r="S53" s="1019"/>
      <c r="T53" s="1019"/>
      <c r="U53" s="1019"/>
      <c r="V53" s="1019"/>
      <c r="W53" s="1019"/>
    </row>
    <row r="54" spans="1:23">
      <c r="B54" s="1052" t="s">
        <v>1036</v>
      </c>
      <c r="C54" s="1019"/>
      <c r="D54" s="1019"/>
      <c r="E54" s="1019"/>
      <c r="F54" s="1019"/>
      <c r="G54" s="1019"/>
      <c r="H54" s="1019"/>
      <c r="I54" s="1019"/>
      <c r="J54" s="1019"/>
      <c r="K54" s="1019"/>
      <c r="L54" s="1019"/>
      <c r="M54" s="1019"/>
      <c r="N54" s="1019"/>
      <c r="O54" s="1019"/>
      <c r="P54" s="1019"/>
      <c r="Q54" s="1019"/>
      <c r="R54" s="1019"/>
      <c r="S54" s="1019"/>
      <c r="T54" s="1019"/>
      <c r="U54" s="1019"/>
      <c r="V54" s="1019"/>
      <c r="W54" s="1019"/>
    </row>
    <row r="55" spans="1:23">
      <c r="A55" s="1040" t="s">
        <v>616</v>
      </c>
      <c r="B55" s="1041">
        <v>182.3</v>
      </c>
      <c r="C55" s="1064" t="s">
        <v>1038</v>
      </c>
      <c r="D55" s="1057" t="s">
        <v>115</v>
      </c>
      <c r="E55" s="1040" t="s">
        <v>1008</v>
      </c>
      <c r="F55" s="1057"/>
      <c r="G55" s="1057" t="s">
        <v>115</v>
      </c>
      <c r="H55" s="1057"/>
      <c r="I55" s="1031">
        <v>0</v>
      </c>
      <c r="J55" s="1057"/>
      <c r="K55" s="1024"/>
      <c r="L55" s="1024">
        <v>29127569.329571735</v>
      </c>
      <c r="M55" s="1024"/>
      <c r="N55" s="1057"/>
      <c r="O55" s="1057"/>
      <c r="P55" s="1063">
        <f>SUM(I55:O55)</f>
        <v>29127569.329571735</v>
      </c>
      <c r="Q55" s="1065"/>
      <c r="R55" s="1023" t="s">
        <v>1039</v>
      </c>
      <c r="S55" s="1019"/>
      <c r="T55" s="1019"/>
      <c r="U55" s="1019"/>
      <c r="V55" s="1019"/>
      <c r="W55" s="1019"/>
    </row>
    <row r="56" spans="1:23">
      <c r="A56" s="1040" t="s">
        <v>617</v>
      </c>
      <c r="B56" s="1041">
        <v>254</v>
      </c>
      <c r="C56" s="1064" t="s">
        <v>1041</v>
      </c>
      <c r="D56" s="1057" t="s">
        <v>115</v>
      </c>
      <c r="E56" s="1040" t="s">
        <v>1008</v>
      </c>
      <c r="F56" s="1057"/>
      <c r="G56" s="1057" t="s">
        <v>115</v>
      </c>
      <c r="H56" s="1057"/>
      <c r="I56" s="1031">
        <v>-86914295.588811964</v>
      </c>
      <c r="J56" s="1057"/>
      <c r="K56" s="1024"/>
      <c r="L56" s="1024"/>
      <c r="M56" s="1024">
        <v>6884741.7947034566</v>
      </c>
      <c r="N56" s="1057"/>
      <c r="O56" s="1057"/>
      <c r="P56" s="1063">
        <f>SUM(I56:O56)</f>
        <v>-80029553.79410851</v>
      </c>
      <c r="Q56" s="1065"/>
      <c r="R56" s="1023" t="s">
        <v>1039</v>
      </c>
      <c r="S56" s="1019"/>
      <c r="T56" s="1019"/>
      <c r="U56" s="1019"/>
      <c r="V56" s="1019"/>
      <c r="W56" s="1019"/>
    </row>
    <row r="57" spans="1:23">
      <c r="A57" s="1040" t="s">
        <v>1052</v>
      </c>
      <c r="B57" s="1192">
        <v>254.00020000000001</v>
      </c>
      <c r="C57" s="1193" t="s">
        <v>1471</v>
      </c>
      <c r="D57" s="1194"/>
      <c r="E57" s="1176" t="s">
        <v>1447</v>
      </c>
      <c r="F57" s="1194"/>
      <c r="G57" s="1194"/>
      <c r="H57" s="1194"/>
      <c r="I57" s="1195">
        <v>0</v>
      </c>
      <c r="J57" s="1194"/>
      <c r="K57" s="1180"/>
      <c r="L57" s="1180"/>
      <c r="M57" s="1024">
        <v>-4008294.4099999997</v>
      </c>
      <c r="N57" s="1194"/>
      <c r="O57" s="1194"/>
      <c r="P57" s="1196">
        <f>SUM(I57:O57)</f>
        <v>-4008294.4099999997</v>
      </c>
      <c r="Q57" s="1065"/>
      <c r="R57" s="1023"/>
      <c r="S57" s="1019"/>
      <c r="T57" s="1019"/>
      <c r="U57" s="1019"/>
      <c r="V57" s="1019"/>
      <c r="W57" s="1019"/>
    </row>
    <row r="58" spans="1:23">
      <c r="A58" s="1040" t="s">
        <v>1472</v>
      </c>
      <c r="B58" s="1059" t="s">
        <v>1154</v>
      </c>
      <c r="C58" s="1064"/>
      <c r="D58" s="1057"/>
      <c r="F58" s="1057"/>
      <c r="G58" s="1057"/>
      <c r="H58" s="1057"/>
      <c r="I58" s="1024"/>
      <c r="J58" s="1057"/>
      <c r="K58" s="1024"/>
      <c r="L58" s="1024"/>
      <c r="M58" s="1024"/>
      <c r="N58" s="1057"/>
      <c r="O58" s="1057"/>
      <c r="P58" s="1065"/>
      <c r="Q58" s="1065"/>
      <c r="R58" s="1023"/>
      <c r="S58" s="1019"/>
      <c r="T58" s="1019"/>
      <c r="U58" s="1019"/>
      <c r="V58" s="1019"/>
      <c r="W58" s="1019"/>
    </row>
    <row r="59" spans="1:23">
      <c r="C59" s="1064"/>
      <c r="D59" s="1045"/>
      <c r="E59" s="1045"/>
      <c r="F59" s="1045"/>
      <c r="G59" s="1045"/>
      <c r="H59" s="1045"/>
      <c r="I59" s="1045"/>
      <c r="J59" s="1045"/>
      <c r="K59" s="1045"/>
      <c r="L59" s="1045"/>
      <c r="M59" s="1045"/>
      <c r="N59" s="1045"/>
      <c r="O59" s="1045"/>
      <c r="P59" s="1045"/>
      <c r="Q59" s="1045"/>
      <c r="R59" s="1066"/>
      <c r="S59" s="1019"/>
      <c r="T59" s="1019"/>
      <c r="U59" s="1019"/>
      <c r="V59" s="1019"/>
      <c r="W59" s="1019"/>
    </row>
    <row r="60" spans="1:23" ht="12.75" thickBot="1">
      <c r="A60" s="1067">
        <v>6</v>
      </c>
      <c r="B60" s="1250" t="str">
        <f>"Total For Accounting Entires (Sum of Lines "&amp;A40&amp;" through "&amp;A56&amp;")"</f>
        <v>Total For Accounting Entires (Sum of Lines 4a through 5b)</v>
      </c>
      <c r="C60" s="1250"/>
      <c r="D60" s="1057"/>
      <c r="E60" s="1057"/>
      <c r="F60" s="1057"/>
      <c r="G60" s="1057"/>
      <c r="H60" s="1057"/>
      <c r="I60" s="1032">
        <f>SUM(I40:I59)</f>
        <v>0</v>
      </c>
      <c r="J60" s="1033">
        <f>SUM(J40:J59)</f>
        <v>-65525352.16818352</v>
      </c>
      <c r="K60" s="1034">
        <f>SUM(K40:K59)</f>
        <v>0</v>
      </c>
      <c r="L60" s="1034">
        <f>SUM(L40:L59)</f>
        <v>0</v>
      </c>
      <c r="M60" s="1033">
        <f>SUM(M40:M59)</f>
        <v>0</v>
      </c>
      <c r="N60" s="1035">
        <f>-SUM(N40:N59)</f>
        <v>-24014070.12611929</v>
      </c>
      <c r="O60" s="1033">
        <f>-SUM(O40:O59)</f>
        <v>0</v>
      </c>
      <c r="P60" s="1034">
        <f>SUM(P40:P59)</f>
        <v>1.1641532182693481E-8</v>
      </c>
      <c r="Q60" s="1033">
        <f>SUM(Q40:Q59)</f>
        <v>-41511282.042064235</v>
      </c>
      <c r="R60" s="1068"/>
      <c r="S60" s="1019"/>
      <c r="T60" s="1019"/>
      <c r="U60" s="1019"/>
      <c r="V60" s="1019"/>
      <c r="W60" s="1019"/>
    </row>
    <row r="61" spans="1:23" ht="12.75" thickTop="1">
      <c r="C61" s="1064"/>
      <c r="D61" s="1045"/>
      <c r="E61" s="1045"/>
      <c r="F61" s="1045"/>
      <c r="G61" s="1045"/>
      <c r="H61" s="1045"/>
      <c r="I61" s="1036"/>
      <c r="J61" s="1027"/>
      <c r="K61" s="1037"/>
      <c r="L61" s="1037"/>
      <c r="M61" s="1037"/>
      <c r="N61" s="1134" t="s">
        <v>1059</v>
      </c>
      <c r="O61" s="1027"/>
      <c r="P61" s="1037"/>
      <c r="Q61" s="1039"/>
      <c r="R61" s="1068"/>
      <c r="S61" s="1019"/>
      <c r="T61" s="1019"/>
      <c r="U61" s="1019"/>
      <c r="V61" s="1019"/>
      <c r="W61" s="1019"/>
    </row>
    <row r="62" spans="1:23">
      <c r="C62" s="1064"/>
      <c r="D62" s="1045"/>
      <c r="E62" s="1045"/>
      <c r="F62" s="1045"/>
      <c r="G62" s="1045"/>
      <c r="H62" s="1045"/>
      <c r="I62" s="1036"/>
      <c r="J62" s="1027"/>
      <c r="K62" s="1037"/>
      <c r="L62" s="1037"/>
      <c r="M62" s="1037"/>
      <c r="N62" s="1027"/>
      <c r="O62" s="1027"/>
      <c r="P62" s="1037"/>
      <c r="Q62" s="1039"/>
      <c r="R62" s="1068"/>
      <c r="S62" s="1019"/>
      <c r="T62" s="1019"/>
      <c r="U62" s="1019"/>
      <c r="V62" s="1019"/>
      <c r="W62" s="1019"/>
    </row>
    <row r="63" spans="1:23" ht="18.600000000000001" customHeight="1">
      <c r="A63" s="1248" t="s">
        <v>1060</v>
      </c>
      <c r="B63" s="1248"/>
      <c r="C63" s="1248"/>
      <c r="D63" s="1248"/>
      <c r="E63" s="1248"/>
      <c r="F63" s="1248"/>
      <c r="G63" s="1248"/>
      <c r="H63" s="1248"/>
      <c r="I63" s="1248"/>
      <c r="J63" s="1248"/>
      <c r="K63" s="1037"/>
      <c r="L63" s="1037"/>
      <c r="M63" s="1037"/>
      <c r="N63" s="1027"/>
      <c r="O63" s="1027"/>
      <c r="P63" s="1037"/>
      <c r="Q63" s="1039"/>
      <c r="R63" s="1068"/>
      <c r="S63" s="1019"/>
      <c r="T63" s="1019"/>
      <c r="U63" s="1019"/>
      <c r="V63" s="1019"/>
      <c r="W63" s="1019"/>
    </row>
    <row r="64" spans="1:23" ht="23.1" customHeight="1">
      <c r="A64" s="1248"/>
      <c r="B64" s="1248"/>
      <c r="C64" s="1248"/>
      <c r="D64" s="1248"/>
      <c r="E64" s="1248"/>
      <c r="F64" s="1248"/>
      <c r="G64" s="1248"/>
      <c r="H64" s="1248"/>
      <c r="I64" s="1248"/>
      <c r="J64" s="1248"/>
      <c r="K64" s="1037"/>
      <c r="L64" s="1037"/>
      <c r="M64" s="1037"/>
      <c r="N64" s="1027"/>
      <c r="O64" s="1027"/>
      <c r="P64" s="1037"/>
      <c r="Q64" s="1039"/>
      <c r="R64" s="1068"/>
      <c r="S64" s="1019"/>
      <c r="T64" s="1019"/>
      <c r="U64" s="1019"/>
      <c r="V64" s="1019"/>
      <c r="W64" s="1019"/>
    </row>
    <row r="65" spans="1:23" ht="15" customHeight="1">
      <c r="C65" s="1064"/>
      <c r="D65" s="1045"/>
      <c r="E65" s="1045"/>
      <c r="F65" s="1045"/>
      <c r="G65" s="1045"/>
      <c r="H65" s="1045"/>
      <c r="I65" s="1036"/>
      <c r="J65" s="1027"/>
      <c r="K65" s="1037"/>
      <c r="L65" s="1037"/>
      <c r="M65" s="1037"/>
      <c r="N65" s="1027"/>
      <c r="O65" s="1027"/>
      <c r="P65" s="1037"/>
      <c r="Q65" s="1039"/>
      <c r="R65" s="1068"/>
      <c r="S65" s="1019"/>
      <c r="T65" s="1019"/>
      <c r="U65" s="1019"/>
      <c r="V65" s="1019"/>
      <c r="W65" s="1019"/>
    </row>
    <row r="66" spans="1:23">
      <c r="B66" s="1040"/>
      <c r="C66" s="1064"/>
      <c r="D66" s="1045"/>
      <c r="E66" s="1045"/>
      <c r="F66" s="1045"/>
      <c r="G66" s="1045"/>
      <c r="H66" s="1045"/>
      <c r="I66" s="1036"/>
      <c r="J66" s="1039"/>
      <c r="K66" s="1037"/>
      <c r="L66" s="1037"/>
      <c r="M66" s="1037"/>
      <c r="N66" s="1039"/>
      <c r="O66" s="1039"/>
      <c r="P66" s="1037"/>
      <c r="Q66" s="1039"/>
      <c r="R66" s="1068"/>
      <c r="S66" s="1019"/>
      <c r="T66" s="1019"/>
      <c r="U66" s="1019"/>
      <c r="V66" s="1019"/>
      <c r="W66" s="1019"/>
    </row>
    <row r="67" spans="1:23">
      <c r="A67" s="1069" t="s">
        <v>1053</v>
      </c>
      <c r="B67" s="1243" t="s">
        <v>1159</v>
      </c>
      <c r="C67" s="1243"/>
      <c r="D67" s="1243"/>
      <c r="E67" s="1243"/>
      <c r="F67" s="1243"/>
      <c r="G67" s="1243"/>
      <c r="H67" s="1243"/>
      <c r="I67" s="1243"/>
      <c r="J67" s="1243"/>
    </row>
    <row r="68" spans="1:23">
      <c r="B68" s="1243"/>
      <c r="C68" s="1243"/>
      <c r="D68" s="1243"/>
      <c r="E68" s="1243"/>
      <c r="F68" s="1243"/>
      <c r="G68" s="1243"/>
      <c r="H68" s="1243"/>
      <c r="I68" s="1243"/>
      <c r="J68" s="1243"/>
    </row>
    <row r="69" spans="1:23">
      <c r="B69" s="1243"/>
      <c r="C69" s="1243"/>
      <c r="D69" s="1243"/>
      <c r="E69" s="1243"/>
      <c r="F69" s="1243"/>
      <c r="G69" s="1243"/>
      <c r="H69" s="1243"/>
      <c r="I69" s="1243"/>
      <c r="J69" s="1243"/>
      <c r="K69" s="1069"/>
    </row>
    <row r="70" spans="1:23">
      <c r="B70" s="1243"/>
      <c r="C70" s="1243"/>
      <c r="D70" s="1243"/>
      <c r="E70" s="1243"/>
      <c r="F70" s="1243"/>
      <c r="G70" s="1243"/>
      <c r="H70" s="1243"/>
      <c r="I70" s="1243"/>
      <c r="J70" s="1243"/>
      <c r="K70" s="1069"/>
    </row>
    <row r="71" spans="1:23">
      <c r="B71" s="1243"/>
      <c r="C71" s="1243"/>
      <c r="D71" s="1243"/>
      <c r="E71" s="1243"/>
      <c r="F71" s="1243"/>
      <c r="G71" s="1243"/>
      <c r="H71" s="1243"/>
      <c r="I71" s="1243"/>
      <c r="J71" s="1243"/>
      <c r="K71" s="1069"/>
    </row>
    <row r="72" spans="1:23">
      <c r="B72" s="1070"/>
      <c r="C72" s="1070"/>
      <c r="D72" s="1070"/>
      <c r="E72" s="1070"/>
      <c r="F72" s="1070"/>
      <c r="G72" s="1070"/>
      <c r="H72" s="1070"/>
      <c r="I72" s="1070"/>
      <c r="J72" s="1070"/>
      <c r="K72" s="1069"/>
    </row>
    <row r="73" spans="1:23">
      <c r="A73" s="1040" t="s">
        <v>1054</v>
      </c>
      <c r="B73" s="1072" t="s">
        <v>1055</v>
      </c>
      <c r="C73" s="1072"/>
      <c r="D73" s="1072"/>
      <c r="E73" s="1072"/>
      <c r="F73" s="1072"/>
      <c r="G73" s="1072"/>
      <c r="H73" s="1072"/>
      <c r="I73" s="1072"/>
      <c r="J73" s="1072"/>
      <c r="K73" s="1069"/>
    </row>
    <row r="74" spans="1:23">
      <c r="B74" s="1072"/>
      <c r="C74" s="1072"/>
      <c r="D74" s="1072"/>
      <c r="E74" s="1072"/>
      <c r="F74" s="1072"/>
      <c r="G74" s="1072"/>
      <c r="H74" s="1072"/>
      <c r="I74" s="1072"/>
      <c r="J74" s="1072"/>
      <c r="K74" s="1069"/>
    </row>
    <row r="75" spans="1:23">
      <c r="A75" s="1040" t="s">
        <v>1056</v>
      </c>
      <c r="B75" s="1243" t="s">
        <v>1155</v>
      </c>
      <c r="C75" s="1243"/>
      <c r="D75" s="1243"/>
      <c r="E75" s="1243"/>
      <c r="F75" s="1243"/>
      <c r="G75" s="1243"/>
      <c r="H75" s="1243"/>
      <c r="I75" s="1243"/>
      <c r="J75" s="1243"/>
      <c r="K75" s="1069"/>
    </row>
    <row r="76" spans="1:23">
      <c r="B76" s="1243"/>
      <c r="C76" s="1243"/>
      <c r="D76" s="1243"/>
      <c r="E76" s="1243"/>
      <c r="F76" s="1243"/>
      <c r="G76" s="1243"/>
      <c r="H76" s="1243"/>
      <c r="I76" s="1243"/>
      <c r="J76" s="1243"/>
      <c r="K76" s="1069"/>
    </row>
    <row r="77" spans="1:23">
      <c r="B77" s="1070"/>
      <c r="C77" s="1070"/>
      <c r="D77" s="1070"/>
      <c r="E77" s="1070"/>
      <c r="F77" s="1070"/>
      <c r="G77" s="1070"/>
      <c r="H77" s="1070"/>
      <c r="I77" s="1070"/>
      <c r="J77" s="1070"/>
      <c r="K77" s="1069"/>
    </row>
    <row r="78" spans="1:23">
      <c r="A78" s="1040" t="s">
        <v>1057</v>
      </c>
      <c r="B78" s="1040" t="s">
        <v>1156</v>
      </c>
      <c r="K78" s="1069"/>
    </row>
    <row r="79" spans="1:23">
      <c r="B79" s="1067"/>
      <c r="C79" s="1070"/>
      <c r="D79" s="1070"/>
      <c r="E79" s="1070"/>
      <c r="F79" s="1070"/>
      <c r="G79" s="1070"/>
      <c r="H79" s="1070"/>
      <c r="I79" s="1070"/>
      <c r="J79" s="1070"/>
      <c r="K79" s="1069"/>
    </row>
    <row r="80" spans="1:23">
      <c r="A80" s="1067" t="s">
        <v>1058</v>
      </c>
      <c r="B80" s="1243" t="s">
        <v>1157</v>
      </c>
      <c r="C80" s="1243"/>
      <c r="D80" s="1243"/>
      <c r="E80" s="1243"/>
      <c r="F80" s="1243"/>
      <c r="G80" s="1243"/>
      <c r="H80" s="1243"/>
      <c r="I80" s="1243"/>
      <c r="J80" s="1070"/>
    </row>
    <row r="81" spans="1:11">
      <c r="B81" s="1243"/>
      <c r="C81" s="1243"/>
      <c r="D81" s="1243"/>
      <c r="E81" s="1243"/>
      <c r="F81" s="1243"/>
      <c r="G81" s="1243"/>
      <c r="H81" s="1243"/>
      <c r="I81" s="1243"/>
      <c r="J81" s="1070"/>
    </row>
    <row r="83" spans="1:11">
      <c r="A83" s="1067" t="s">
        <v>1061</v>
      </c>
      <c r="B83" s="1243" t="s">
        <v>1158</v>
      </c>
      <c r="C83" s="1243"/>
      <c r="D83" s="1243"/>
      <c r="E83" s="1243"/>
      <c r="F83" s="1243"/>
      <c r="G83" s="1243"/>
      <c r="H83" s="1243"/>
      <c r="I83" s="1243"/>
    </row>
    <row r="84" spans="1:11">
      <c r="B84" s="1243"/>
      <c r="C84" s="1243"/>
      <c r="D84" s="1243"/>
      <c r="E84" s="1243"/>
      <c r="F84" s="1243"/>
      <c r="G84" s="1243"/>
      <c r="H84" s="1243"/>
      <c r="I84" s="1243"/>
    </row>
    <row r="86" spans="1:11">
      <c r="B86" s="1067"/>
    </row>
    <row r="87" spans="1:11">
      <c r="B87" s="1040"/>
    </row>
    <row r="88" spans="1:11">
      <c r="B88" s="1040"/>
    </row>
    <row r="89" spans="1:11">
      <c r="B89" s="1040"/>
    </row>
    <row r="90" spans="1:11">
      <c r="B90" s="1040"/>
    </row>
    <row r="91" spans="1:11">
      <c r="A91" s="1073"/>
      <c r="B91" s="1069"/>
      <c r="C91" s="1069"/>
      <c r="D91" s="1069"/>
      <c r="E91" s="1069"/>
      <c r="F91" s="1069"/>
      <c r="G91" s="1069"/>
      <c r="H91" s="1069"/>
      <c r="I91" s="1069"/>
      <c r="J91" s="1069"/>
      <c r="K91" s="1069"/>
    </row>
    <row r="92" spans="1:11">
      <c r="A92" s="1069"/>
      <c r="B92" s="1069"/>
      <c r="C92" s="1069"/>
      <c r="D92" s="1069"/>
      <c r="E92" s="1069"/>
      <c r="F92" s="1069"/>
      <c r="G92" s="1069"/>
      <c r="H92" s="1069"/>
      <c r="I92" s="1069"/>
      <c r="J92" s="1069"/>
      <c r="K92" s="1069"/>
    </row>
    <row r="93" spans="1:11">
      <c r="A93" s="1069"/>
      <c r="B93" s="1069"/>
      <c r="C93" s="1069"/>
      <c r="D93" s="1069"/>
      <c r="E93" s="1069"/>
      <c r="F93" s="1069"/>
      <c r="G93" s="1069"/>
      <c r="H93" s="1069"/>
      <c r="I93" s="1069"/>
      <c r="J93" s="1069"/>
      <c r="K93" s="1069"/>
    </row>
    <row r="94" spans="1:11">
      <c r="A94" s="1069"/>
      <c r="B94" s="1069"/>
      <c r="C94" s="1069"/>
      <c r="D94" s="1069"/>
      <c r="E94" s="1069"/>
      <c r="F94" s="1069"/>
      <c r="G94" s="1069"/>
      <c r="H94" s="1069"/>
      <c r="I94" s="1069"/>
      <c r="J94" s="1069"/>
      <c r="K94" s="1069"/>
    </row>
    <row r="95" spans="1:11">
      <c r="A95" s="1069"/>
      <c r="B95" s="1069"/>
      <c r="C95" s="1069"/>
      <c r="D95" s="1074"/>
      <c r="E95" s="1074"/>
      <c r="F95" s="1074"/>
      <c r="G95" s="1069"/>
      <c r="H95" s="1069"/>
      <c r="I95" s="1069"/>
      <c r="J95" s="1069"/>
      <c r="K95" s="1069"/>
    </row>
    <row r="96" spans="1:11">
      <c r="A96" s="1069"/>
      <c r="B96" s="1069"/>
      <c r="C96" s="1069"/>
      <c r="D96" s="1071"/>
      <c r="E96" s="1071"/>
      <c r="F96" s="1071"/>
      <c r="G96" s="1069"/>
      <c r="H96" s="1069"/>
      <c r="I96" s="1069"/>
      <c r="J96" s="1069"/>
      <c r="K96" s="1069"/>
    </row>
    <row r="97" spans="1:11">
      <c r="A97" s="1069"/>
      <c r="B97" s="1069"/>
      <c r="C97" s="1069"/>
      <c r="D97" s="1074"/>
      <c r="E97" s="1074"/>
      <c r="F97" s="1074"/>
      <c r="G97" s="1069"/>
      <c r="H97" s="1069"/>
      <c r="I97" s="1069"/>
      <c r="J97" s="1069"/>
      <c r="K97" s="1069"/>
    </row>
    <row r="98" spans="1:11">
      <c r="A98" s="1069"/>
      <c r="B98" s="1069"/>
      <c r="C98" s="1069"/>
      <c r="D98" s="1069"/>
      <c r="E98" s="1069"/>
      <c r="F98" s="1069"/>
      <c r="G98" s="1069"/>
      <c r="H98" s="1069"/>
      <c r="I98" s="1069"/>
      <c r="J98" s="1069"/>
      <c r="K98" s="1069"/>
    </row>
    <row r="99" spans="1:11">
      <c r="A99" s="1069"/>
      <c r="B99" s="1069"/>
      <c r="C99" s="1069"/>
      <c r="D99" s="1069"/>
      <c r="E99" s="1069"/>
      <c r="F99" s="1069"/>
      <c r="G99" s="1069"/>
      <c r="H99" s="1069"/>
      <c r="I99" s="1069"/>
      <c r="J99" s="1069"/>
      <c r="K99" s="1069"/>
    </row>
    <row r="100" spans="1:11">
      <c r="A100" s="1069"/>
      <c r="B100" s="1069"/>
      <c r="C100" s="1069"/>
      <c r="D100" s="1069"/>
      <c r="E100" s="1069"/>
      <c r="F100" s="1069"/>
      <c r="G100" s="1069"/>
      <c r="H100" s="1069"/>
      <c r="I100" s="1069"/>
      <c r="J100" s="1069"/>
      <c r="K100" s="1069"/>
    </row>
    <row r="101" spans="1:11">
      <c r="A101" s="1069"/>
      <c r="C101" s="1069"/>
      <c r="D101" s="1069"/>
      <c r="E101" s="1069"/>
      <c r="F101" s="1069"/>
      <c r="G101" s="1069"/>
      <c r="H101" s="1069"/>
      <c r="I101" s="1069"/>
      <c r="J101" s="1069"/>
      <c r="K101" s="1069"/>
    </row>
    <row r="102" spans="1:11">
      <c r="A102" s="1069"/>
      <c r="B102" s="1069"/>
      <c r="C102" s="1069"/>
      <c r="D102" s="1069"/>
      <c r="E102" s="1069"/>
      <c r="F102" s="1069"/>
      <c r="G102" s="1069"/>
      <c r="H102" s="1069"/>
      <c r="I102" s="1069"/>
      <c r="J102" s="1069"/>
      <c r="K102" s="1069"/>
    </row>
    <row r="103" spans="1:11">
      <c r="A103" s="1069"/>
      <c r="B103" s="1069"/>
      <c r="C103" s="1069"/>
      <c r="D103" s="1069"/>
      <c r="E103" s="1069"/>
      <c r="F103" s="1069"/>
      <c r="G103" s="1069"/>
      <c r="H103" s="1069"/>
      <c r="I103" s="1069"/>
      <c r="J103" s="1069"/>
      <c r="K103" s="1069"/>
    </row>
  </sheetData>
  <mergeCells count="17">
    <mergeCell ref="R16:R17"/>
    <mergeCell ref="B60:C60"/>
    <mergeCell ref="R18:R19"/>
    <mergeCell ref="B35:C35"/>
    <mergeCell ref="P38:Q38"/>
    <mergeCell ref="R41:R42"/>
    <mergeCell ref="R43:R44"/>
    <mergeCell ref="B83:I84"/>
    <mergeCell ref="I9:J9"/>
    <mergeCell ref="K9:M9"/>
    <mergeCell ref="N9:O9"/>
    <mergeCell ref="P9:Q9"/>
    <mergeCell ref="P11:Q11"/>
    <mergeCell ref="A63:J64"/>
    <mergeCell ref="B67:J71"/>
    <mergeCell ref="B75:J76"/>
    <mergeCell ref="B80:I81"/>
  </mergeCells>
  <pageMargins left="0.7" right="0.7" top="0.75" bottom="0.75" header="0.3" footer="0.3"/>
  <pageSetup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pageSetUpPr fitToPage="1"/>
  </sheetPr>
  <dimension ref="A1:Q63"/>
  <sheetViews>
    <sheetView tabSelected="1" workbookViewId="0">
      <selection activeCell="D9" sqref="D9"/>
    </sheetView>
  </sheetViews>
  <sheetFormatPr defaultColWidth="11.85546875" defaultRowHeight="12.75"/>
  <cols>
    <col min="1" max="1" width="9" style="1096" customWidth="1"/>
    <col min="2" max="2" width="15" style="1097" bestFit="1" customWidth="1"/>
    <col min="3" max="3" width="4.140625" style="1097" customWidth="1"/>
    <col min="4" max="4" width="21" style="1097" bestFit="1" customWidth="1"/>
    <col min="5" max="5" width="29.7109375" style="1097" bestFit="1" customWidth="1"/>
    <col min="6" max="6" width="21.42578125" style="1097" customWidth="1"/>
    <col min="7" max="7" width="5.140625" style="1097" customWidth="1"/>
    <col min="8" max="8" width="15.5703125" style="1097" customWidth="1"/>
    <col min="9" max="9" width="3" style="1097" customWidth="1"/>
    <col min="10" max="10" width="17.42578125" style="1097" customWidth="1"/>
    <col min="11" max="11" width="3.5703125" style="1097" customWidth="1"/>
    <col min="12" max="12" width="19.5703125" style="1097" customWidth="1"/>
    <col min="13" max="13" width="16" style="1097" customWidth="1"/>
    <col min="14" max="14" width="21.28515625" style="1097" bestFit="1" customWidth="1"/>
    <col min="15" max="15" width="16" style="1100" bestFit="1" customWidth="1"/>
    <col min="16" max="16" width="15.28515625" style="1097" bestFit="1" customWidth="1"/>
    <col min="17" max="16384" width="11.85546875" style="1097"/>
  </cols>
  <sheetData>
    <row r="1" spans="1:17" ht="15">
      <c r="A1" s="1096" t="s">
        <v>1093</v>
      </c>
      <c r="L1" s="1098"/>
      <c r="N1" s="1099" t="s">
        <v>1094</v>
      </c>
    </row>
    <row r="2" spans="1:17">
      <c r="A2" s="1101" t="s">
        <v>764</v>
      </c>
      <c r="L2" s="1102"/>
      <c r="N2" s="1102" t="s">
        <v>1095</v>
      </c>
    </row>
    <row r="3" spans="1:17">
      <c r="A3" s="1096" t="s">
        <v>1096</v>
      </c>
      <c r="N3" s="1102" t="s">
        <v>1097</v>
      </c>
    </row>
    <row r="4" spans="1:17">
      <c r="A4" s="1096" t="s">
        <v>1098</v>
      </c>
      <c r="N4" s="1099" t="s">
        <v>1099</v>
      </c>
    </row>
    <row r="5" spans="1:17">
      <c r="A5" s="1096" t="s">
        <v>1100</v>
      </c>
    </row>
    <row r="6" spans="1:17">
      <c r="A6" s="1096" t="s">
        <v>988</v>
      </c>
    </row>
    <row r="7" spans="1:17">
      <c r="A7" s="1254" t="s">
        <v>1101</v>
      </c>
      <c r="B7" s="1254"/>
      <c r="C7" s="1254"/>
      <c r="D7" s="1254"/>
      <c r="E7" s="1254"/>
      <c r="F7" s="1254"/>
      <c r="G7" s="1254"/>
      <c r="H7" s="1254"/>
      <c r="I7" s="1254"/>
      <c r="J7" s="1254"/>
      <c r="K7" s="1254"/>
      <c r="L7" s="1254"/>
      <c r="M7" s="1254"/>
      <c r="N7" s="1254"/>
      <c r="O7" s="1103"/>
    </row>
    <row r="9" spans="1:17">
      <c r="A9" s="1104" t="s">
        <v>149</v>
      </c>
      <c r="B9" s="1105" t="s">
        <v>150</v>
      </c>
      <c r="C9" s="1105"/>
      <c r="D9" s="1105" t="s">
        <v>151</v>
      </c>
      <c r="E9" s="1105" t="s">
        <v>152</v>
      </c>
      <c r="F9" s="1105" t="s">
        <v>153</v>
      </c>
      <c r="G9" s="1105"/>
      <c r="H9" s="1105" t="s">
        <v>1102</v>
      </c>
      <c r="I9" s="1105"/>
      <c r="J9" s="1105" t="s">
        <v>155</v>
      </c>
      <c r="K9" s="1105"/>
      <c r="L9" s="1105" t="s">
        <v>1103</v>
      </c>
      <c r="M9" s="1105" t="s">
        <v>157</v>
      </c>
      <c r="N9" s="1105" t="s">
        <v>1104</v>
      </c>
      <c r="Q9" s="1255"/>
    </row>
    <row r="10" spans="1:17">
      <c r="F10" s="1106"/>
      <c r="G10" s="1106"/>
      <c r="H10" s="1106"/>
      <c r="Q10" s="1255"/>
    </row>
    <row r="11" spans="1:17" ht="58.5" customHeight="1">
      <c r="A11" s="1096" t="s">
        <v>1105</v>
      </c>
      <c r="B11" s="1097" t="s">
        <v>1106</v>
      </c>
      <c r="D11" s="1107" t="s">
        <v>1107</v>
      </c>
      <c r="E11" s="1105" t="s">
        <v>1001</v>
      </c>
      <c r="F11" s="1107" t="s">
        <v>1108</v>
      </c>
      <c r="G11" s="1107"/>
      <c r="H11" s="1107" t="s">
        <v>1109</v>
      </c>
      <c r="I11" s="1108"/>
      <c r="J11" s="1107" t="s">
        <v>1110</v>
      </c>
      <c r="L11" s="1107" t="s">
        <v>1111</v>
      </c>
      <c r="M11" s="1107" t="s">
        <v>1112</v>
      </c>
      <c r="N11" s="1107" t="s">
        <v>1113</v>
      </c>
    </row>
    <row r="12" spans="1:17">
      <c r="D12" s="1107"/>
      <c r="E12" s="1105"/>
      <c r="F12" s="1107"/>
      <c r="G12" s="1107"/>
      <c r="H12" s="1107"/>
      <c r="I12" s="1107"/>
      <c r="J12" s="1107"/>
      <c r="L12" s="1107"/>
      <c r="N12" s="1106"/>
    </row>
    <row r="13" spans="1:17">
      <c r="A13" s="1109" t="s">
        <v>1114</v>
      </c>
      <c r="D13" s="1107"/>
      <c r="E13" s="1105"/>
      <c r="F13" s="1107"/>
      <c r="G13" s="1107"/>
      <c r="H13" s="1107"/>
      <c r="I13" s="1107"/>
      <c r="J13" s="1107"/>
      <c r="L13" s="1107"/>
      <c r="N13" s="1106"/>
    </row>
    <row r="14" spans="1:17">
      <c r="D14" s="1100"/>
      <c r="E14" s="1100"/>
      <c r="F14" s="1110"/>
      <c r="G14" s="1110"/>
      <c r="H14" s="1110"/>
      <c r="I14" s="1110"/>
      <c r="J14" s="1110"/>
      <c r="K14" s="1110"/>
      <c r="L14" s="1110"/>
      <c r="M14" s="1100"/>
      <c r="N14" s="1100"/>
    </row>
    <row r="15" spans="1:17" ht="15.6" customHeight="1">
      <c r="A15" s="1111">
        <v>1</v>
      </c>
      <c r="B15" s="1112" t="s">
        <v>1115</v>
      </c>
      <c r="D15" s="1113">
        <v>891603052</v>
      </c>
      <c r="E15" s="1100" t="s">
        <v>1116</v>
      </c>
      <c r="M15" s="1100"/>
    </row>
    <row r="16" spans="1:17" ht="15">
      <c r="A16" s="1111">
        <f>+A15+1</f>
        <v>2</v>
      </c>
      <c r="B16" s="1112"/>
      <c r="D16" s="1114">
        <v>1334608</v>
      </c>
      <c r="E16" s="1100" t="s">
        <v>1117</v>
      </c>
      <c r="F16" s="1108"/>
      <c r="G16" s="1108"/>
      <c r="H16" s="1108"/>
      <c r="I16" s="1108"/>
      <c r="J16" s="1108"/>
      <c r="K16" s="1108"/>
      <c r="L16" s="1108"/>
      <c r="M16" s="1100"/>
      <c r="N16" s="1115"/>
    </row>
    <row r="17" spans="1:14">
      <c r="A17" s="1111">
        <f>++A16+1</f>
        <v>3</v>
      </c>
      <c r="B17" s="1112" t="s">
        <v>1118</v>
      </c>
      <c r="D17" s="1100">
        <f>+D15-D16</f>
        <v>890268444</v>
      </c>
      <c r="E17" s="1112"/>
      <c r="F17" s="1110">
        <v>351937081.37</v>
      </c>
      <c r="G17" s="1110"/>
      <c r="H17" s="1116">
        <f>+F17/D17</f>
        <v>0.39531568679300511</v>
      </c>
      <c r="I17" s="1117"/>
      <c r="J17" s="1110">
        <f>-F17</f>
        <v>-351937081.37</v>
      </c>
      <c r="K17" s="1110"/>
      <c r="L17" s="1110">
        <f>+F17+J17</f>
        <v>0</v>
      </c>
      <c r="M17" s="1100"/>
      <c r="N17" s="1110">
        <f>+D17-L17</f>
        <v>890268444</v>
      </c>
    </row>
    <row r="18" spans="1:14">
      <c r="A18" s="1111"/>
      <c r="B18" s="1112"/>
      <c r="D18" s="1100"/>
      <c r="E18" s="1100"/>
      <c r="F18" s="1118"/>
      <c r="G18" s="1118"/>
      <c r="H18" s="1116"/>
      <c r="I18" s="1119"/>
      <c r="J18" s="1110"/>
      <c r="K18" s="1110"/>
      <c r="L18" s="1110"/>
      <c r="M18" s="1100"/>
      <c r="N18" s="1110"/>
    </row>
    <row r="19" spans="1:14" ht="15.6" customHeight="1">
      <c r="A19" s="1111">
        <f>+A17+1</f>
        <v>4</v>
      </c>
      <c r="B19" s="1112" t="s">
        <v>1119</v>
      </c>
      <c r="D19" s="1100">
        <v>-29431106</v>
      </c>
      <c r="E19" s="1100" t="s">
        <v>1120</v>
      </c>
      <c r="F19" s="1110">
        <v>-11772442.359999999</v>
      </c>
      <c r="G19" s="1110"/>
      <c r="H19" s="1116">
        <f>+F19/D19</f>
        <v>0.39999999864089375</v>
      </c>
      <c r="I19" s="1119"/>
      <c r="J19" s="1110">
        <v>0</v>
      </c>
      <c r="K19" s="1110"/>
      <c r="L19" s="1110">
        <f>+F19+J19</f>
        <v>-11772442.359999999</v>
      </c>
      <c r="M19" s="1100" t="s">
        <v>1012</v>
      </c>
      <c r="N19" s="1110">
        <f>+D19-L19</f>
        <v>-17658663.640000001</v>
      </c>
    </row>
    <row r="20" spans="1:14">
      <c r="A20" s="1111"/>
      <c r="B20" s="1112"/>
      <c r="D20" s="1100"/>
      <c r="E20" s="1100"/>
      <c r="F20" s="1116"/>
      <c r="G20" s="1116"/>
      <c r="H20" s="1116"/>
      <c r="I20" s="1119"/>
      <c r="J20" s="1110"/>
      <c r="K20" s="1110"/>
      <c r="L20" s="1110"/>
      <c r="M20" s="1100"/>
      <c r="N20" s="1110"/>
    </row>
    <row r="21" spans="1:14" ht="15.6" customHeight="1">
      <c r="A21" s="1111">
        <f>+A19+1</f>
        <v>5</v>
      </c>
      <c r="B21" s="1112" t="s">
        <v>1121</v>
      </c>
      <c r="D21" s="1100">
        <v>-1379310545</v>
      </c>
      <c r="E21" s="1100" t="s">
        <v>1122</v>
      </c>
      <c r="F21" s="1110">
        <v>-550083930.73000002</v>
      </c>
      <c r="G21" s="1110"/>
      <c r="H21" s="1116">
        <f>+F21/D21</f>
        <v>0.39881079190183383</v>
      </c>
      <c r="I21" s="1119"/>
      <c r="J21" s="1110">
        <v>-9206699.5999999996</v>
      </c>
      <c r="K21" s="1110"/>
      <c r="L21" s="1110">
        <f>+F21+J21-L22</f>
        <v>-417308441.33000004</v>
      </c>
      <c r="M21" s="1100" t="s">
        <v>1123</v>
      </c>
      <c r="N21" s="1110">
        <f>+D21-L21-L22</f>
        <v>-820019914.66999996</v>
      </c>
    </row>
    <row r="22" spans="1:14">
      <c r="A22" s="1111"/>
      <c r="B22" s="1112"/>
      <c r="D22" s="1100"/>
      <c r="E22" s="1100"/>
      <c r="F22" s="1120"/>
      <c r="G22" s="1120"/>
      <c r="H22" s="1116"/>
      <c r="I22" s="1121"/>
      <c r="J22" s="1110"/>
      <c r="K22" s="1110"/>
      <c r="L22" s="1110">
        <v>-141982189</v>
      </c>
      <c r="M22" s="1100" t="s">
        <v>1124</v>
      </c>
      <c r="N22" s="1110"/>
    </row>
    <row r="23" spans="1:14">
      <c r="A23" s="1111"/>
      <c r="B23" s="1112"/>
      <c r="D23" s="1100"/>
      <c r="E23" s="1100"/>
      <c r="F23" s="1120"/>
      <c r="G23" s="1120"/>
      <c r="H23" s="1116"/>
      <c r="I23" s="1121"/>
      <c r="J23" s="1110"/>
      <c r="K23" s="1110"/>
      <c r="L23" s="1110"/>
      <c r="M23" s="1100"/>
      <c r="N23" s="1110"/>
    </row>
    <row r="24" spans="1:14">
      <c r="A24" s="1111">
        <f>+A21+1</f>
        <v>6</v>
      </c>
      <c r="B24" s="1112" t="s">
        <v>1125</v>
      </c>
      <c r="D24" s="1100">
        <v>-916243904</v>
      </c>
      <c r="E24" s="1100" t="s">
        <v>1126</v>
      </c>
      <c r="F24" s="1110">
        <v>-366497251.19999999</v>
      </c>
      <c r="G24" s="1110"/>
      <c r="H24" s="1116">
        <f>+F24/D24</f>
        <v>0.3999996612255769</v>
      </c>
      <c r="I24" s="1119"/>
      <c r="J24" s="1110">
        <f>-J17-J21</f>
        <v>361143780.97000003</v>
      </c>
      <c r="K24" s="1110"/>
      <c r="L24" s="1110">
        <f>+F24+J24</f>
        <v>-5353470.2299999595</v>
      </c>
      <c r="M24" s="1100" t="s">
        <v>1124</v>
      </c>
      <c r="N24" s="1110">
        <f>+D24-L24</f>
        <v>-910890433.76999998</v>
      </c>
    </row>
    <row r="25" spans="1:14">
      <c r="A25" s="1111"/>
      <c r="B25" s="1112"/>
      <c r="E25" s="1100"/>
      <c r="F25" s="1110"/>
      <c r="G25" s="1110"/>
      <c r="H25" s="1122"/>
      <c r="I25" s="1119"/>
      <c r="J25" s="1110"/>
      <c r="K25" s="1110"/>
      <c r="L25" s="1110"/>
      <c r="M25" s="1100"/>
      <c r="N25" s="1110"/>
    </row>
    <row r="26" spans="1:14" ht="15">
      <c r="A26" s="1111">
        <f>+A24+1</f>
        <v>7</v>
      </c>
      <c r="B26" s="1097" t="s">
        <v>119</v>
      </c>
      <c r="D26" s="1123">
        <f>+D24+D21+D19+D17</f>
        <v>-1434717111</v>
      </c>
      <c r="E26" s="1100" t="s">
        <v>1127</v>
      </c>
      <c r="F26" s="1124">
        <f>SUM(F16:F24)</f>
        <v>-576416542.92000008</v>
      </c>
      <c r="G26" s="1125"/>
      <c r="H26" s="1126"/>
      <c r="I26" s="1108"/>
      <c r="J26" s="1124">
        <f>SUM(J16:J24)</f>
        <v>0</v>
      </c>
      <c r="K26" s="1110"/>
      <c r="L26" s="1124">
        <f>SUM(L16:L24)</f>
        <v>-576416542.92000008</v>
      </c>
      <c r="M26" s="1100"/>
      <c r="N26" s="1124">
        <f>SUM(N16:N24)</f>
        <v>-858300568.07999992</v>
      </c>
    </row>
    <row r="27" spans="1:14" ht="18" customHeight="1">
      <c r="A27" s="1111"/>
      <c r="D27" s="1100"/>
      <c r="E27" s="1100"/>
      <c r="F27" s="1118"/>
      <c r="G27" s="1118"/>
      <c r="H27" s="1116"/>
      <c r="I27" s="1118"/>
      <c r="J27" s="1110"/>
      <c r="K27" s="1110"/>
      <c r="L27" s="1110"/>
      <c r="M27" s="1100"/>
      <c r="N27" s="1110"/>
    </row>
    <row r="28" spans="1:14" ht="15">
      <c r="A28" s="1127" t="s">
        <v>1128</v>
      </c>
      <c r="B28" s="1108"/>
      <c r="C28" s="1108"/>
      <c r="D28" s="1108"/>
      <c r="E28" s="1108"/>
      <c r="F28" s="1108"/>
      <c r="G28" s="1108"/>
      <c r="H28" s="1128"/>
      <c r="N28" s="1110"/>
    </row>
    <row r="29" spans="1:14">
      <c r="A29" s="1111"/>
      <c r="F29" s="1116"/>
      <c r="G29" s="1116"/>
      <c r="H29" s="1116"/>
      <c r="J29" s="1110"/>
      <c r="K29" s="1110"/>
      <c r="M29" s="1100"/>
      <c r="N29" s="1110"/>
    </row>
    <row r="30" spans="1:14">
      <c r="A30" s="1111">
        <f>+A26+1</f>
        <v>8</v>
      </c>
      <c r="B30" s="1112" t="s">
        <v>1118</v>
      </c>
      <c r="D30" s="1100">
        <v>13963209.560000001</v>
      </c>
      <c r="E30" s="1112" t="s">
        <v>631</v>
      </c>
      <c r="F30" s="1110">
        <v>5574048.2599999998</v>
      </c>
      <c r="G30" s="1110"/>
      <c r="H30" s="1116">
        <f>+F30/D30</f>
        <v>0.39919534517105676</v>
      </c>
      <c r="I30" s="1116"/>
      <c r="J30" s="1110">
        <f>-F30</f>
        <v>-5574048.2599999998</v>
      </c>
      <c r="K30" s="1110"/>
      <c r="L30" s="1110">
        <f>+F30+J30</f>
        <v>0</v>
      </c>
      <c r="M30" s="1100"/>
      <c r="N30" s="1110">
        <f>+D30-L30</f>
        <v>13963209.560000001</v>
      </c>
    </row>
    <row r="31" spans="1:14">
      <c r="A31" s="1111"/>
      <c r="B31" s="1112"/>
      <c r="D31" s="1100"/>
      <c r="E31" s="1100"/>
      <c r="F31" s="1118"/>
      <c r="G31" s="1118"/>
      <c r="H31" s="1116"/>
      <c r="I31" s="1118"/>
      <c r="J31" s="1110"/>
      <c r="K31" s="1110"/>
      <c r="L31" s="1110"/>
      <c r="N31" s="1110"/>
    </row>
    <row r="32" spans="1:14">
      <c r="A32" s="1111">
        <f>+A30+1</f>
        <v>9</v>
      </c>
      <c r="B32" s="1112" t="s">
        <v>1121</v>
      </c>
      <c r="D32" s="1100">
        <v>-236519560.96000001</v>
      </c>
      <c r="E32" s="1112" t="s">
        <v>631</v>
      </c>
      <c r="F32" s="1110">
        <v>-94888048.389999986</v>
      </c>
      <c r="G32" s="1110"/>
      <c r="H32" s="1116">
        <f>+F32/D32</f>
        <v>0.40118478152446502</v>
      </c>
      <c r="I32" s="1118"/>
      <c r="J32" s="1110">
        <v>-2323240</v>
      </c>
      <c r="K32" s="1110"/>
      <c r="L32" s="1110">
        <f>+F32+J32-L33</f>
        <v>-82304124.389999986</v>
      </c>
      <c r="M32" s="1100" t="s">
        <v>1123</v>
      </c>
      <c r="N32" s="1110">
        <f>+D32-L32</f>
        <v>-154215436.57000002</v>
      </c>
    </row>
    <row r="33" spans="1:17">
      <c r="A33" s="1111"/>
      <c r="B33" s="1112"/>
      <c r="D33" s="1100"/>
      <c r="E33" s="1112"/>
      <c r="F33" s="1110"/>
      <c r="G33" s="1110"/>
      <c r="H33" s="1116"/>
      <c r="I33" s="1118"/>
      <c r="J33" s="1110"/>
      <c r="K33" s="1110"/>
      <c r="L33" s="1110">
        <v>-14907164</v>
      </c>
      <c r="M33" s="1100" t="s">
        <v>1124</v>
      </c>
      <c r="N33" s="1110"/>
    </row>
    <row r="34" spans="1:17">
      <c r="A34" s="1111"/>
      <c r="B34" s="1112"/>
      <c r="D34" s="1100"/>
      <c r="E34" s="1100"/>
      <c r="F34" s="1116"/>
      <c r="G34" s="1116"/>
      <c r="H34" s="1116"/>
      <c r="I34" s="1129"/>
      <c r="J34" s="1110"/>
      <c r="K34" s="1110"/>
      <c r="L34" s="1110"/>
      <c r="N34" s="1110"/>
    </row>
    <row r="35" spans="1:17">
      <c r="A35" s="1111">
        <f>+A32+1</f>
        <v>10</v>
      </c>
      <c r="B35" s="1112" t="s">
        <v>1125</v>
      </c>
      <c r="D35" s="1100">
        <v>-6806203.9699999997</v>
      </c>
      <c r="E35" s="1112" t="s">
        <v>631</v>
      </c>
      <c r="F35" s="1110">
        <v>-2722481.5900000003</v>
      </c>
      <c r="G35" s="1110"/>
      <c r="H35" s="1116">
        <f>+F35/D35</f>
        <v>0.40000000029384963</v>
      </c>
      <c r="I35" s="1118"/>
      <c r="J35" s="1110">
        <f>-J30-J32</f>
        <v>7897288.2599999998</v>
      </c>
      <c r="K35" s="1110"/>
      <c r="L35" s="1110">
        <f>+F35+J35</f>
        <v>5174806.67</v>
      </c>
      <c r="M35" s="1100" t="s">
        <v>1124</v>
      </c>
      <c r="N35" s="1110">
        <f>+D35-L35</f>
        <v>-11981010.640000001</v>
      </c>
    </row>
    <row r="36" spans="1:17" s="1100" customFormat="1">
      <c r="A36" s="1111"/>
      <c r="B36" s="1097"/>
      <c r="C36" s="1097"/>
      <c r="F36" s="1118"/>
      <c r="G36" s="1118"/>
      <c r="H36" s="1118"/>
      <c r="I36" s="1118"/>
      <c r="J36" s="1110"/>
      <c r="K36" s="1110"/>
      <c r="L36" s="1110"/>
      <c r="M36" s="1097"/>
      <c r="N36" s="1110"/>
      <c r="P36" s="1097"/>
      <c r="Q36" s="1097"/>
    </row>
    <row r="37" spans="1:17" s="1100" customFormat="1" ht="13.5" thickBot="1">
      <c r="A37" s="1111">
        <f>+A35+1</f>
        <v>11</v>
      </c>
      <c r="B37" s="1097" t="s">
        <v>119</v>
      </c>
      <c r="C37" s="1097"/>
      <c r="D37" s="1130">
        <f>+D30+D32+D35</f>
        <v>-229362555.37</v>
      </c>
      <c r="E37" s="1100" t="s">
        <v>1129</v>
      </c>
      <c r="F37" s="1124">
        <f>SUM(F30:F35)</f>
        <v>-92036481.719999984</v>
      </c>
      <c r="G37" s="1125"/>
      <c r="H37" s="1125"/>
      <c r="I37" s="1097"/>
      <c r="J37" s="1124">
        <f>SUM(J30:J35)</f>
        <v>0</v>
      </c>
      <c r="K37" s="1110"/>
      <c r="L37" s="1124">
        <f>SUM(L30:L35)</f>
        <v>-92036481.719999984</v>
      </c>
      <c r="M37" s="1097"/>
      <c r="N37" s="1124">
        <f>SUM(N30:N35)</f>
        <v>-152233237.65000004</v>
      </c>
      <c r="P37" s="1097"/>
      <c r="Q37" s="1097"/>
    </row>
    <row r="38" spans="1:17" s="1100" customFormat="1">
      <c r="A38" s="1111"/>
      <c r="B38" s="1097"/>
      <c r="C38" s="1097"/>
      <c r="D38" s="1125"/>
      <c r="F38" s="1125"/>
      <c r="G38" s="1125"/>
      <c r="H38" s="1125"/>
      <c r="I38" s="1097"/>
      <c r="J38" s="1125"/>
      <c r="K38" s="1110"/>
      <c r="L38" s="1125"/>
      <c r="M38" s="1097"/>
      <c r="N38" s="1125"/>
      <c r="P38" s="1097"/>
      <c r="Q38" s="1097"/>
    </row>
    <row r="39" spans="1:17" s="1100" customFormat="1">
      <c r="A39" s="1111"/>
      <c r="B39" s="1097"/>
      <c r="C39" s="1097"/>
      <c r="F39" s="1125"/>
      <c r="G39" s="1125"/>
      <c r="H39" s="1125"/>
      <c r="I39" s="1097"/>
      <c r="J39" s="1125"/>
      <c r="K39" s="1110"/>
      <c r="L39" s="1125"/>
      <c r="M39" s="1097"/>
      <c r="N39" s="1131"/>
      <c r="P39" s="1097"/>
      <c r="Q39" s="1097"/>
    </row>
    <row r="40" spans="1:17" s="1100" customFormat="1">
      <c r="A40" s="1111"/>
      <c r="B40" s="1097"/>
      <c r="C40" s="1097"/>
      <c r="F40" s="1125"/>
      <c r="G40" s="1125"/>
      <c r="H40" s="1125"/>
      <c r="I40" s="1097"/>
      <c r="J40" s="1125"/>
      <c r="K40" s="1110"/>
      <c r="L40" s="1125"/>
      <c r="M40" s="1097"/>
      <c r="N40" s="1131"/>
      <c r="P40" s="1097"/>
      <c r="Q40" s="1097"/>
    </row>
    <row r="41" spans="1:17" s="1100" customFormat="1" ht="15">
      <c r="A41" s="1111"/>
      <c r="B41" s="1097"/>
      <c r="C41" s="1097"/>
      <c r="F41" s="1125"/>
      <c r="G41" s="1125"/>
      <c r="H41" s="1125"/>
      <c r="I41" s="1097"/>
      <c r="J41" s="1125"/>
      <c r="K41" s="1110"/>
      <c r="L41" s="1125"/>
      <c r="M41" s="1097"/>
      <c r="N41" s="1108"/>
      <c r="P41" s="1097"/>
      <c r="Q41" s="1097"/>
    </row>
    <row r="42" spans="1:17" s="1100" customFormat="1" ht="15">
      <c r="A42" s="1111"/>
      <c r="B42" s="1097"/>
      <c r="C42" s="1097"/>
      <c r="F42" s="1125"/>
      <c r="G42" s="1125"/>
      <c r="H42" s="1125"/>
      <c r="I42" s="1097"/>
      <c r="J42" s="1125"/>
      <c r="K42" s="1110"/>
      <c r="L42" s="1125"/>
      <c r="M42" s="1097"/>
      <c r="N42" s="1108"/>
      <c r="P42" s="1097"/>
      <c r="Q42" s="1097"/>
    </row>
    <row r="43" spans="1:17" s="1100" customFormat="1" ht="15">
      <c r="A43" s="1256" t="s">
        <v>1130</v>
      </c>
      <c r="B43" s="1256"/>
      <c r="C43" s="1256"/>
      <c r="D43" s="1256"/>
      <c r="E43" s="1256"/>
      <c r="F43" s="1256"/>
      <c r="G43" s="1256"/>
      <c r="H43" s="1256"/>
      <c r="I43" s="1097"/>
      <c r="J43" s="1125"/>
      <c r="K43" s="1110"/>
      <c r="L43" s="1125"/>
      <c r="M43" s="1097"/>
      <c r="N43" s="1108"/>
      <c r="P43" s="1097"/>
      <c r="Q43" s="1097"/>
    </row>
    <row r="44" spans="1:17" s="1100" customFormat="1" ht="15">
      <c r="A44" s="1256"/>
      <c r="B44" s="1256"/>
      <c r="C44" s="1256"/>
      <c r="D44" s="1256"/>
      <c r="E44" s="1256"/>
      <c r="F44" s="1256"/>
      <c r="G44" s="1256"/>
      <c r="H44" s="1256"/>
      <c r="I44" s="1097"/>
      <c r="J44" s="1125"/>
      <c r="K44" s="1110"/>
      <c r="L44" s="1125"/>
      <c r="M44" s="1097"/>
      <c r="N44" s="1108"/>
      <c r="P44" s="1097"/>
      <c r="Q44" s="1097"/>
    </row>
    <row r="45" spans="1:17" s="1100" customFormat="1" ht="15">
      <c r="A45" s="1256"/>
      <c r="B45" s="1256"/>
      <c r="C45" s="1256"/>
      <c r="D45" s="1256"/>
      <c r="E45" s="1256"/>
      <c r="F45" s="1256"/>
      <c r="G45" s="1256"/>
      <c r="H45" s="1256"/>
      <c r="I45" s="1097"/>
      <c r="J45" s="1125"/>
      <c r="K45" s="1110"/>
      <c r="L45" s="1125"/>
      <c r="M45" s="1097"/>
      <c r="N45" s="1108"/>
      <c r="P45" s="1097"/>
      <c r="Q45" s="1097"/>
    </row>
    <row r="46" spans="1:17" s="1100" customFormat="1" ht="15">
      <c r="A46" s="1256"/>
      <c r="B46" s="1256"/>
      <c r="C46" s="1256"/>
      <c r="D46" s="1256"/>
      <c r="E46" s="1256"/>
      <c r="F46" s="1256"/>
      <c r="G46" s="1256"/>
      <c r="H46" s="1256"/>
      <c r="I46" s="1097"/>
      <c r="J46" s="1125"/>
      <c r="K46" s="1110"/>
      <c r="L46" s="1125"/>
      <c r="M46" s="1097"/>
      <c r="N46" s="1108"/>
      <c r="P46" s="1097"/>
      <c r="Q46" s="1097"/>
    </row>
    <row r="47" spans="1:17" s="1100" customFormat="1" ht="15">
      <c r="A47" s="1111"/>
      <c r="B47" s="1097"/>
      <c r="C47" s="1097"/>
      <c r="D47" s="1097"/>
      <c r="E47" s="1097"/>
      <c r="F47" s="1097"/>
      <c r="G47" s="1097"/>
      <c r="H47" s="1097"/>
      <c r="I47" s="1097"/>
      <c r="J47" s="1125"/>
      <c r="K47" s="1110"/>
      <c r="L47" s="1125"/>
      <c r="M47" s="1097"/>
      <c r="N47" s="1108"/>
      <c r="P47" s="1097"/>
      <c r="Q47" s="1097"/>
    </row>
    <row r="48" spans="1:17" s="1100" customFormat="1" ht="15">
      <c r="A48" s="1096" t="s">
        <v>1131</v>
      </c>
      <c r="B48" s="1256" t="s">
        <v>1132</v>
      </c>
      <c r="C48" s="1256"/>
      <c r="D48" s="1256"/>
      <c r="E48" s="1256"/>
      <c r="F48" s="1256"/>
      <c r="G48" s="1256"/>
      <c r="H48" s="1256"/>
      <c r="I48" s="1097"/>
      <c r="J48" s="1125"/>
      <c r="K48" s="1110"/>
      <c r="L48" s="1125"/>
      <c r="M48" s="1097"/>
      <c r="N48" s="1108"/>
      <c r="P48" s="1097"/>
      <c r="Q48" s="1097"/>
    </row>
    <row r="49" spans="1:17" s="1100" customFormat="1" ht="15.6" customHeight="1">
      <c r="A49" s="1096"/>
      <c r="B49" s="1256"/>
      <c r="C49" s="1256"/>
      <c r="D49" s="1256"/>
      <c r="E49" s="1256"/>
      <c r="F49" s="1256"/>
      <c r="G49" s="1256"/>
      <c r="H49" s="1256"/>
      <c r="I49" s="1097"/>
      <c r="J49" s="1108"/>
      <c r="K49" s="1108"/>
      <c r="L49" s="1108"/>
      <c r="M49" s="1108"/>
      <c r="N49" s="1108"/>
      <c r="O49" s="1108"/>
      <c r="P49" s="1108"/>
      <c r="Q49" s="1108"/>
    </row>
    <row r="50" spans="1:17" s="1100" customFormat="1" ht="12.95" customHeight="1">
      <c r="A50" s="1096"/>
      <c r="B50" s="1256"/>
      <c r="C50" s="1256"/>
      <c r="D50" s="1256"/>
      <c r="E50" s="1256"/>
      <c r="F50" s="1256"/>
      <c r="G50" s="1256"/>
      <c r="H50" s="1256"/>
      <c r="I50" s="1097"/>
      <c r="J50" s="1108"/>
      <c r="K50" s="1108"/>
      <c r="L50" s="1108"/>
      <c r="M50" s="1108"/>
      <c r="N50" s="1108"/>
      <c r="O50" s="1108"/>
      <c r="P50" s="1108"/>
      <c r="Q50" s="1108"/>
    </row>
    <row r="51" spans="1:17" s="1100" customFormat="1" ht="15">
      <c r="A51" s="1097"/>
      <c r="B51" s="1097"/>
      <c r="C51" s="1097"/>
      <c r="D51" s="1097"/>
      <c r="E51" s="1097"/>
      <c r="F51" s="1097"/>
      <c r="G51" s="1097"/>
      <c r="H51" s="1097"/>
      <c r="I51" s="1108"/>
      <c r="J51" s="1108"/>
      <c r="K51" s="1108"/>
      <c r="L51" s="1108"/>
      <c r="M51" s="1108"/>
      <c r="N51" s="1108"/>
      <c r="O51" s="1108"/>
      <c r="P51" s="1108"/>
      <c r="Q51" s="1108"/>
    </row>
    <row r="52" spans="1:17" s="1100" customFormat="1" ht="15.6" customHeight="1">
      <c r="A52" s="1096" t="s">
        <v>1133</v>
      </c>
      <c r="B52" s="1256" t="s">
        <v>1134</v>
      </c>
      <c r="C52" s="1256"/>
      <c r="D52" s="1256"/>
      <c r="E52" s="1256"/>
      <c r="F52" s="1256"/>
      <c r="G52" s="1256"/>
      <c r="H52" s="1256"/>
      <c r="I52" s="1097"/>
      <c r="J52" s="1108"/>
      <c r="K52" s="1108"/>
      <c r="L52" s="1108"/>
      <c r="M52" s="1108"/>
      <c r="N52" s="1108"/>
      <c r="O52" s="1108"/>
      <c r="P52" s="1108"/>
      <c r="Q52" s="1108"/>
    </row>
    <row r="53" spans="1:17" s="1100" customFormat="1" ht="10.5" customHeight="1">
      <c r="A53" s="1096"/>
      <c r="B53" s="1256"/>
      <c r="C53" s="1256"/>
      <c r="D53" s="1256"/>
      <c r="E53" s="1256"/>
      <c r="F53" s="1256"/>
      <c r="G53" s="1256"/>
      <c r="H53" s="1256"/>
      <c r="I53" s="1097"/>
      <c r="J53" s="1108"/>
      <c r="K53" s="1108"/>
      <c r="L53" s="1108"/>
      <c r="M53" s="1108"/>
      <c r="N53" s="1108"/>
      <c r="O53" s="1108"/>
      <c r="P53" s="1108"/>
      <c r="Q53" s="1108"/>
    </row>
    <row r="54" spans="1:17" s="1100" customFormat="1" ht="15">
      <c r="A54" s="1097"/>
      <c r="B54" s="1097"/>
      <c r="C54" s="1097"/>
      <c r="D54" s="1097"/>
      <c r="E54" s="1097"/>
      <c r="F54" s="1097"/>
      <c r="G54" s="1097"/>
      <c r="H54" s="1097"/>
      <c r="I54" s="1097"/>
      <c r="J54" s="1108"/>
      <c r="K54" s="1108"/>
      <c r="L54" s="1108"/>
      <c r="M54" s="1108"/>
      <c r="N54" s="1108"/>
      <c r="O54" s="1108"/>
      <c r="P54" s="1108"/>
      <c r="Q54" s="1108"/>
    </row>
    <row r="55" spans="1:17" s="1100" customFormat="1" ht="15" customHeight="1">
      <c r="A55" s="1096" t="s">
        <v>1135</v>
      </c>
      <c r="B55" s="1256" t="s">
        <v>1136</v>
      </c>
      <c r="C55" s="1256"/>
      <c r="D55" s="1256"/>
      <c r="E55" s="1256"/>
      <c r="F55" s="1256"/>
      <c r="G55" s="1256"/>
      <c r="H55" s="1256"/>
      <c r="I55" s="1256"/>
      <c r="J55" s="1108"/>
      <c r="K55" s="1108"/>
      <c r="L55" s="1108"/>
      <c r="M55" s="1108"/>
      <c r="N55" s="1108"/>
      <c r="O55" s="1108"/>
      <c r="P55" s="1108"/>
      <c r="Q55" s="1108"/>
    </row>
    <row r="56" spans="1:17" s="1100" customFormat="1" ht="15">
      <c r="A56" s="1132"/>
      <c r="B56" s="1256"/>
      <c r="C56" s="1256"/>
      <c r="D56" s="1256"/>
      <c r="E56" s="1256"/>
      <c r="F56" s="1256"/>
      <c r="G56" s="1256"/>
      <c r="H56" s="1256"/>
      <c r="I56" s="1256"/>
      <c r="J56" s="1108"/>
      <c r="K56" s="1108"/>
      <c r="L56" s="1108"/>
      <c r="M56" s="1108"/>
      <c r="N56" s="1108"/>
      <c r="O56" s="1108"/>
      <c r="P56" s="1108"/>
      <c r="Q56" s="1108"/>
    </row>
    <row r="57" spans="1:17" s="1100" customFormat="1" ht="15">
      <c r="A57" s="1097"/>
      <c r="B57" s="1097"/>
      <c r="C57" s="1097"/>
      <c r="D57" s="1097"/>
      <c r="E57" s="1097"/>
      <c r="F57" s="1097"/>
      <c r="G57" s="1097"/>
      <c r="H57" s="1097"/>
      <c r="I57" s="1097"/>
      <c r="J57" s="1108"/>
      <c r="K57" s="1108"/>
      <c r="L57" s="1108"/>
      <c r="M57" s="1108"/>
      <c r="N57" s="1108"/>
      <c r="O57" s="1108"/>
      <c r="P57" s="1108"/>
      <c r="Q57" s="1108"/>
    </row>
    <row r="58" spans="1:17" s="1100" customFormat="1" ht="15">
      <c r="A58" s="1097" t="s">
        <v>1137</v>
      </c>
      <c r="B58" s="1253" t="s">
        <v>1138</v>
      </c>
      <c r="C58" s="1253"/>
      <c r="D58" s="1253"/>
      <c r="E58" s="1253"/>
      <c r="F58" s="1253"/>
      <c r="G58" s="1097"/>
      <c r="H58" s="1097"/>
      <c r="I58" s="1097"/>
      <c r="J58" s="1108"/>
      <c r="K58" s="1108"/>
      <c r="L58" s="1108"/>
      <c r="M58" s="1108"/>
      <c r="N58" s="1108"/>
      <c r="O58" s="1108"/>
      <c r="P58" s="1108"/>
      <c r="Q58" s="1108"/>
    </row>
    <row r="59" spans="1:17" s="1100" customFormat="1" ht="15">
      <c r="A59" s="1096"/>
      <c r="B59" s="1253"/>
      <c r="C59" s="1253"/>
      <c r="D59" s="1253"/>
      <c r="E59" s="1253"/>
      <c r="F59" s="1253"/>
      <c r="G59" s="1097"/>
      <c r="H59" s="1097"/>
      <c r="I59" s="1097"/>
      <c r="J59" s="1108"/>
      <c r="K59" s="1108"/>
      <c r="L59" s="1108"/>
      <c r="M59" s="1108"/>
      <c r="N59" s="1108"/>
      <c r="O59" s="1108"/>
      <c r="P59" s="1108"/>
      <c r="Q59" s="1108"/>
    </row>
    <row r="60" spans="1:17" s="1100" customFormat="1" ht="15">
      <c r="A60" s="1108"/>
      <c r="B60" s="1108"/>
      <c r="C60" s="1108"/>
      <c r="D60" s="1108"/>
      <c r="E60" s="1108"/>
      <c r="F60" s="1108"/>
      <c r="G60" s="1108"/>
      <c r="H60" s="1108"/>
      <c r="I60" s="1108"/>
      <c r="J60" s="1108"/>
      <c r="K60" s="1108"/>
      <c r="L60" s="1108"/>
      <c r="M60" s="1108"/>
      <c r="N60" s="1108"/>
      <c r="O60" s="1108"/>
      <c r="P60" s="1108"/>
      <c r="Q60" s="1108"/>
    </row>
    <row r="61" spans="1:17" s="1100" customFormat="1" ht="15">
      <c r="A61" s="1132"/>
      <c r="B61" s="1108"/>
      <c r="C61" s="1108"/>
      <c r="D61" s="1108"/>
      <c r="E61" s="1108"/>
      <c r="F61" s="1108"/>
      <c r="G61" s="1108"/>
      <c r="H61" s="1108"/>
      <c r="I61" s="1108"/>
      <c r="J61" s="1108"/>
      <c r="K61" s="1108"/>
      <c r="L61" s="1108"/>
      <c r="M61" s="1108"/>
      <c r="N61" s="1108"/>
      <c r="O61" s="1108"/>
      <c r="P61" s="1108"/>
      <c r="Q61" s="1108"/>
    </row>
    <row r="62" spans="1:17" ht="15">
      <c r="A62" s="1132"/>
      <c r="B62" s="1108"/>
      <c r="C62" s="1108"/>
      <c r="D62" s="1108"/>
      <c r="E62" s="1108"/>
      <c r="F62" s="1108"/>
      <c r="G62" s="1108"/>
      <c r="H62" s="1108"/>
      <c r="I62" s="1108"/>
      <c r="J62" s="1108"/>
      <c r="K62" s="1108"/>
      <c r="L62" s="1108"/>
      <c r="M62" s="1108"/>
      <c r="N62" s="1108"/>
      <c r="O62" s="1108"/>
      <c r="P62" s="1108"/>
      <c r="Q62" s="1108"/>
    </row>
    <row r="63" spans="1:17" ht="15">
      <c r="A63" s="1132"/>
      <c r="B63" s="1108"/>
      <c r="C63" s="1108"/>
      <c r="D63" s="1108"/>
      <c r="E63" s="1108"/>
      <c r="F63" s="1108"/>
      <c r="G63" s="1108"/>
      <c r="H63" s="1108"/>
      <c r="I63" s="1108"/>
      <c r="J63" s="1108"/>
      <c r="K63" s="1108"/>
      <c r="L63" s="1108"/>
      <c r="M63" s="1108"/>
      <c r="N63" s="1108"/>
      <c r="O63" s="1108"/>
      <c r="P63" s="1108"/>
      <c r="Q63" s="1108"/>
    </row>
  </sheetData>
  <mergeCells count="7">
    <mergeCell ref="B58:F59"/>
    <mergeCell ref="A7:N7"/>
    <mergeCell ref="Q9:Q10"/>
    <mergeCell ref="A43:H46"/>
    <mergeCell ref="B48:H50"/>
    <mergeCell ref="B52:H53"/>
    <mergeCell ref="B55:I56"/>
  </mergeCells>
  <pageMargins left="0.7" right="0.7" top="0.75" bottom="0.75" header="0.3" footer="0.3"/>
  <pageSetup scale="59"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O141"/>
  <sheetViews>
    <sheetView tabSelected="1" topLeftCell="A25" zoomScale="85" zoomScaleNormal="85" zoomScaleSheetLayoutView="100" workbookViewId="0">
      <selection activeCell="D9" sqref="D9"/>
    </sheetView>
  </sheetViews>
  <sheetFormatPr defaultColWidth="11.42578125" defaultRowHeight="12.75"/>
  <cols>
    <col min="1" max="1" width="8.140625" style="58" customWidth="1"/>
    <col min="2" max="2" width="16.5703125" style="57" bestFit="1" customWidth="1"/>
    <col min="3" max="3" width="44.140625" style="57" customWidth="1"/>
    <col min="4" max="4" width="29.5703125" style="57" customWidth="1"/>
    <col min="5" max="5" width="24.42578125" style="57" customWidth="1"/>
    <col min="6" max="6" width="1" style="57" customWidth="1"/>
    <col min="7" max="7" width="20.85546875" style="57" customWidth="1"/>
    <col min="8" max="8" width="1" style="57" customWidth="1"/>
    <col min="9" max="9" width="19.140625" style="57" customWidth="1"/>
    <col min="10" max="10" width="16.5703125" style="57" customWidth="1"/>
    <col min="11" max="11" width="15.42578125" style="57" customWidth="1"/>
    <col min="12" max="12" width="33.5703125" style="57" customWidth="1"/>
    <col min="13" max="14" width="13.42578125" style="57" customWidth="1"/>
    <col min="15" max="15" width="13.5703125" style="57" customWidth="1"/>
    <col min="16" max="16384" width="11.42578125" style="57"/>
  </cols>
  <sheetData>
    <row r="1" spans="1:15" ht="15.75">
      <c r="A1" s="669" t="s">
        <v>115</v>
      </c>
    </row>
    <row r="2" spans="1:15" ht="15.75">
      <c r="A2" s="669" t="s">
        <v>115</v>
      </c>
    </row>
    <row r="3" spans="1:15" ht="15">
      <c r="A3" s="1230" t="str">
        <f>+'WS B ADIT &amp; ITC'!A3:I3</f>
        <v>AEP East Companies</v>
      </c>
      <c r="B3" s="1230"/>
      <c r="C3" s="1230"/>
      <c r="D3" s="1230"/>
      <c r="E3" s="1230"/>
      <c r="F3" s="1230"/>
      <c r="G3" s="1230"/>
      <c r="H3" s="1230"/>
      <c r="I3" s="1230"/>
      <c r="J3" s="1230"/>
      <c r="K3" s="1230"/>
      <c r="L3" s="1230"/>
      <c r="M3" s="30"/>
      <c r="N3" s="30"/>
      <c r="O3" s="30"/>
    </row>
    <row r="4" spans="1:15" ht="15">
      <c r="A4" s="1231" t="str">
        <f>"Cost of Service Formula Rate Using Actual/Projected FF1 Balances"</f>
        <v>Cost of Service Formula Rate Using Actual/Projected FF1 Balances</v>
      </c>
      <c r="B4" s="1231"/>
      <c r="C4" s="1231"/>
      <c r="D4" s="1231"/>
      <c r="E4" s="1231"/>
      <c r="F4" s="1231"/>
      <c r="G4" s="1231"/>
      <c r="H4" s="1231"/>
      <c r="I4" s="1231"/>
      <c r="J4" s="1231"/>
      <c r="K4" s="1231"/>
      <c r="L4" s="1231"/>
      <c r="M4" s="78"/>
      <c r="N4" s="78"/>
      <c r="O4" s="78"/>
    </row>
    <row r="5" spans="1:15" ht="15">
      <c r="A5" s="1231" t="s">
        <v>496</v>
      </c>
      <c r="B5" s="1231"/>
      <c r="C5" s="1231"/>
      <c r="D5" s="1231"/>
      <c r="E5" s="1231"/>
      <c r="F5" s="1231"/>
      <c r="G5" s="1231"/>
      <c r="H5" s="1231"/>
      <c r="I5" s="1231"/>
      <c r="J5" s="1231"/>
      <c r="K5" s="1231"/>
      <c r="L5" s="1231"/>
      <c r="M5" s="77"/>
      <c r="N5" s="77"/>
      <c r="O5" s="77"/>
    </row>
    <row r="6" spans="1:15" ht="15">
      <c r="A6" s="1239" t="str">
        <f>TCOS!F9</f>
        <v xml:space="preserve">Indiana Michigan Power Company </v>
      </c>
      <c r="B6" s="1239"/>
      <c r="C6" s="1239"/>
      <c r="D6" s="1239"/>
      <c r="E6" s="1239"/>
      <c r="F6" s="1239"/>
      <c r="G6" s="1239"/>
      <c r="H6" s="1239"/>
      <c r="I6" s="1239"/>
      <c r="J6" s="1239"/>
      <c r="K6" s="1239"/>
      <c r="L6" s="1239"/>
      <c r="M6" s="3"/>
      <c r="N6" s="3"/>
      <c r="O6" s="3"/>
    </row>
    <row r="7" spans="1:15" ht="15">
      <c r="A7" s="3"/>
      <c r="B7" s="3"/>
      <c r="C7" s="3"/>
      <c r="D7" s="3"/>
      <c r="E7" s="3"/>
      <c r="F7" s="3"/>
      <c r="G7" s="3"/>
      <c r="H7"/>
    </row>
    <row r="8" spans="1:15" ht="12.75" customHeight="1">
      <c r="A8" s="66"/>
      <c r="B8" s="66" t="s">
        <v>163</v>
      </c>
      <c r="C8" s="66" t="s">
        <v>164</v>
      </c>
      <c r="D8" s="66" t="s">
        <v>4</v>
      </c>
      <c r="E8" s="66" t="s">
        <v>166</v>
      </c>
      <c r="F8" s="66"/>
      <c r="G8" s="66" t="s">
        <v>85</v>
      </c>
      <c r="H8" s="66"/>
      <c r="I8" s="66" t="s">
        <v>86</v>
      </c>
      <c r="J8" s="66" t="s">
        <v>87</v>
      </c>
      <c r="K8" s="66" t="s">
        <v>92</v>
      </c>
      <c r="L8" s="66" t="s">
        <v>501</v>
      </c>
      <c r="M8" s="66"/>
      <c r="N8" s="66"/>
      <c r="O8" s="66"/>
    </row>
    <row r="9" spans="1:15">
      <c r="A9" s="56"/>
    </row>
    <row r="10" spans="1:15" ht="18">
      <c r="A10" s="60"/>
      <c r="B10" s="1257" t="s">
        <v>208</v>
      </c>
      <c r="C10" s="1257"/>
      <c r="D10" s="1257"/>
      <c r="E10" s="1257"/>
      <c r="F10" s="1257"/>
      <c r="G10" s="1257"/>
      <c r="H10" s="1257"/>
      <c r="I10" s="1257"/>
      <c r="J10" s="1257"/>
      <c r="K10" s="1257"/>
    </row>
    <row r="11" spans="1:15">
      <c r="A11" s="60"/>
      <c r="I11"/>
      <c r="J11"/>
    </row>
    <row r="12" spans="1:15" ht="12.75" customHeight="1">
      <c r="A12" s="9" t="s">
        <v>170</v>
      </c>
      <c r="B12" s="60"/>
      <c r="C12" s="65"/>
      <c r="D12" s="158"/>
      <c r="E12" s="1237" t="str">
        <f>"Balance @ December 31, "&amp;TCOS!L4&amp;""</f>
        <v>Balance @ December 31, 2025</v>
      </c>
      <c r="F12" s="158"/>
      <c r="G12" s="1237" t="str">
        <f>"Balance @ December 31, "&amp;TCOS!L4-1&amp;""</f>
        <v>Balance @ December 31, 2024</v>
      </c>
      <c r="H12" s="204"/>
      <c r="I12" s="1240" t="str">
        <f>"Average Balance for "&amp;TCOS!L4&amp;""</f>
        <v>Average Balance for 2025</v>
      </c>
      <c r="J12" s="4"/>
      <c r="L12" s="66"/>
    </row>
    <row r="13" spans="1:15">
      <c r="A13" s="9" t="s">
        <v>107</v>
      </c>
      <c r="B13" s="58"/>
      <c r="C13" s="60"/>
      <c r="D13" s="159" t="s">
        <v>207</v>
      </c>
      <c r="E13" s="1238"/>
      <c r="F13" s="160"/>
      <c r="G13" s="1238"/>
      <c r="H13" s="161"/>
      <c r="I13" s="1238"/>
      <c r="J13" s="4"/>
      <c r="K13" s="67"/>
      <c r="L13" s="68"/>
      <c r="M13" s="61"/>
      <c r="N13" s="61"/>
    </row>
    <row r="14" spans="1:15">
      <c r="B14" s="58"/>
      <c r="C14" s="60"/>
      <c r="D14" s="64"/>
      <c r="E14" s="59"/>
      <c r="F14" s="59"/>
      <c r="G14" s="178"/>
      <c r="H14" s="63"/>
      <c r="J14"/>
      <c r="K14" s="67"/>
      <c r="L14" s="68"/>
      <c r="M14" s="61"/>
      <c r="N14" s="61"/>
    </row>
    <row r="15" spans="1:15">
      <c r="A15" s="58">
        <v>1</v>
      </c>
      <c r="B15" s="58"/>
      <c r="D15" s="52"/>
      <c r="E15" s="17"/>
      <c r="F15" s="17"/>
      <c r="G15" s="17"/>
      <c r="H15" s="17"/>
      <c r="I15" s="17"/>
      <c r="K15" s="17"/>
      <c r="L15" s="17"/>
      <c r="M15" s="61"/>
      <c r="N15" s="61"/>
    </row>
    <row r="16" spans="1:15">
      <c r="B16" s="58"/>
      <c r="C16" s="52"/>
      <c r="D16" s="52"/>
      <c r="E16" s="17"/>
      <c r="F16" s="17"/>
      <c r="G16" s="17"/>
      <c r="H16" s="17"/>
      <c r="I16" s="17"/>
      <c r="K16" s="17"/>
      <c r="L16" s="17"/>
      <c r="M16" s="61"/>
      <c r="N16" s="61"/>
    </row>
    <row r="17" spans="1:14">
      <c r="A17" s="58">
        <f>+A15+1</f>
        <v>2</v>
      </c>
      <c r="B17" s="58"/>
      <c r="C17" s="52" t="s">
        <v>528</v>
      </c>
      <c r="D17" s="62" t="s">
        <v>436</v>
      </c>
      <c r="E17" s="626">
        <v>72199</v>
      </c>
      <c r="F17" s="17"/>
      <c r="G17" s="626">
        <v>288652</v>
      </c>
      <c r="H17" s="17"/>
      <c r="I17" s="108">
        <f>IF(G17="",0,(E17+G17)/2)</f>
        <v>180425.5</v>
      </c>
      <c r="J17"/>
      <c r="K17" s="108"/>
      <c r="L17" s="17"/>
      <c r="M17" s="61"/>
      <c r="N17" s="61"/>
    </row>
    <row r="18" spans="1:14">
      <c r="B18" s="58"/>
      <c r="C18" s="52"/>
      <c r="D18"/>
      <c r="E18"/>
      <c r="F18"/>
      <c r="G18"/>
      <c r="H18"/>
      <c r="I18" s="4"/>
      <c r="J18"/>
      <c r="K18"/>
      <c r="L18" s="17"/>
      <c r="M18" s="61"/>
      <c r="N18" s="61"/>
    </row>
    <row r="19" spans="1:14">
      <c r="A19" s="1169" t="s">
        <v>1037</v>
      </c>
      <c r="B19" s="1169"/>
      <c r="C19" s="1170" t="s">
        <v>1404</v>
      </c>
      <c r="D19" s="1171" t="s">
        <v>1405</v>
      </c>
      <c r="E19" s="1172"/>
      <c r="F19" s="115"/>
      <c r="G19" s="1172"/>
      <c r="H19" s="203"/>
      <c r="I19" s="977">
        <f>IF(G19="",0,(E19+G19)/2)</f>
        <v>0</v>
      </c>
      <c r="J19"/>
      <c r="K19"/>
      <c r="L19" s="17"/>
      <c r="M19" s="61"/>
      <c r="N19" s="61"/>
    </row>
    <row r="20" spans="1:14">
      <c r="B20" s="58"/>
      <c r="C20" s="52"/>
      <c r="D20"/>
      <c r="E20"/>
      <c r="F20"/>
      <c r="G20"/>
      <c r="H20"/>
      <c r="I20" s="4"/>
      <c r="J20"/>
      <c r="K20"/>
      <c r="L20" s="17"/>
      <c r="M20" s="61"/>
      <c r="N20" s="61"/>
    </row>
    <row r="21" spans="1:14">
      <c r="A21" s="58">
        <f>+A17+1</f>
        <v>3</v>
      </c>
      <c r="B21" s="58"/>
      <c r="C21" s="52" t="s">
        <v>530</v>
      </c>
      <c r="D21" s="62" t="s">
        <v>437</v>
      </c>
      <c r="E21" s="626">
        <v>302069</v>
      </c>
      <c r="F21" s="17"/>
      <c r="G21" s="626">
        <v>427067</v>
      </c>
      <c r="H21" s="63"/>
      <c r="I21" s="108">
        <f>IF(G21="",0,(E21+G21)/2)</f>
        <v>364568</v>
      </c>
      <c r="J21"/>
      <c r="K21" s="67"/>
      <c r="L21" s="68"/>
      <c r="M21" s="61"/>
      <c r="N21" s="61"/>
    </row>
    <row r="22" spans="1:14">
      <c r="B22" s="58"/>
      <c r="C22" s="52"/>
      <c r="D22" s="62"/>
      <c r="E22"/>
      <c r="F22"/>
      <c r="G22"/>
      <c r="H22"/>
      <c r="I22"/>
      <c r="J22"/>
      <c r="K22" s="67"/>
      <c r="L22" s="68"/>
      <c r="M22" s="61"/>
      <c r="N22" s="61"/>
    </row>
    <row r="23" spans="1:14">
      <c r="A23" s="58">
        <f>+A21+1</f>
        <v>4</v>
      </c>
      <c r="B23" s="58"/>
      <c r="C23" s="52" t="s">
        <v>754</v>
      </c>
      <c r="D23" s="62" t="s">
        <v>438</v>
      </c>
      <c r="E23" s="626">
        <v>0</v>
      </c>
      <c r="F23" s="17"/>
      <c r="G23" s="626">
        <v>0</v>
      </c>
      <c r="H23" s="63"/>
      <c r="I23" s="108">
        <f>IF(G23="",0,(E23+G23)/2)</f>
        <v>0</v>
      </c>
      <c r="J23"/>
      <c r="K23" s="67"/>
      <c r="L23" s="68"/>
      <c r="M23" s="61"/>
      <c r="N23" s="61"/>
    </row>
    <row r="24" spans="1:14">
      <c r="B24" s="58"/>
      <c r="C24" s="60"/>
      <c r="D24" s="64"/>
      <c r="E24" s="59"/>
      <c r="F24" s="59"/>
      <c r="H24" s="63"/>
      <c r="J24"/>
      <c r="K24" s="67"/>
      <c r="L24" s="68"/>
      <c r="M24" s="61"/>
      <c r="N24" s="61"/>
    </row>
    <row r="25" spans="1:14">
      <c r="A25" s="149"/>
      <c r="B25" s="149"/>
      <c r="C25" s="150"/>
      <c r="D25" s="151"/>
      <c r="E25" s="152"/>
      <c r="F25" s="152"/>
      <c r="G25" s="153"/>
      <c r="H25" s="154"/>
      <c r="I25" s="153"/>
      <c r="J25" s="155"/>
      <c r="K25" s="156"/>
      <c r="L25" s="157"/>
      <c r="M25" s="61"/>
      <c r="N25" s="61"/>
    </row>
    <row r="26" spans="1:14" ht="18">
      <c r="B26" s="1257" t="s">
        <v>753</v>
      </c>
      <c r="C26" s="1257"/>
      <c r="D26" s="1257"/>
      <c r="E26" s="1257"/>
      <c r="F26" s="1257"/>
      <c r="G26" s="1257"/>
      <c r="H26" s="1257"/>
      <c r="I26" s="1257"/>
      <c r="J26" s="1257"/>
      <c r="K26" s="1257"/>
      <c r="L26" s="68"/>
      <c r="M26" s="61"/>
      <c r="N26" s="61"/>
    </row>
    <row r="27" spans="1:14" ht="12.75" customHeight="1">
      <c r="B27" s="119"/>
      <c r="C27" s="60"/>
      <c r="D27" s="17"/>
      <c r="E27" s="7"/>
      <c r="G27" s="7" t="s">
        <v>88</v>
      </c>
      <c r="I27" s="5" t="s">
        <v>116</v>
      </c>
      <c r="J27" s="5" t="s">
        <v>116</v>
      </c>
      <c r="K27" s="5" t="s">
        <v>180</v>
      </c>
      <c r="L27" s="68"/>
      <c r="M27" s="61"/>
      <c r="N27" s="61"/>
    </row>
    <row r="28" spans="1:14" ht="12.75" customHeight="1">
      <c r="B28" s="119"/>
      <c r="C28" s="60"/>
      <c r="D28" s="117" t="s">
        <v>502</v>
      </c>
      <c r="E28" s="5" t="s">
        <v>532</v>
      </c>
      <c r="G28" s="5" t="s">
        <v>116</v>
      </c>
      <c r="I28" s="5" t="s">
        <v>524</v>
      </c>
      <c r="J28" s="5" t="s">
        <v>162</v>
      </c>
      <c r="K28" s="5" t="s">
        <v>181</v>
      </c>
      <c r="L28" s="68"/>
      <c r="M28" s="61"/>
      <c r="N28" s="61"/>
    </row>
    <row r="29" spans="1:14" ht="12.75" customHeight="1">
      <c r="A29" s="58">
        <f>+A23+1</f>
        <v>5</v>
      </c>
      <c r="B29" s="119"/>
      <c r="C29" s="60"/>
      <c r="D29" s="9" t="s">
        <v>89</v>
      </c>
      <c r="E29" s="9" t="s">
        <v>503</v>
      </c>
      <c r="G29" s="9" t="s">
        <v>525</v>
      </c>
      <c r="I29" s="9" t="s">
        <v>525</v>
      </c>
      <c r="J29" s="9" t="s">
        <v>525</v>
      </c>
      <c r="K29" s="9" t="s">
        <v>526</v>
      </c>
      <c r="L29" s="68"/>
      <c r="M29" s="61"/>
      <c r="N29" s="61"/>
    </row>
    <row r="30" spans="1:14">
      <c r="B30" s="58"/>
      <c r="C30" s="60"/>
      <c r="D30" s="64"/>
      <c r="E30" s="59"/>
      <c r="F30" s="59"/>
      <c r="H30" s="63"/>
      <c r="J30"/>
      <c r="K30" s="179"/>
      <c r="L30" s="68"/>
      <c r="M30" s="61"/>
      <c r="N30" s="61"/>
    </row>
    <row r="31" spans="1:14">
      <c r="A31" s="58">
        <f>+A29+1</f>
        <v>6</v>
      </c>
      <c r="B31" s="58"/>
      <c r="C31" s="57" t="str">
        <f>"Totals as of December 31, "&amp;TCOS!L4&amp;""</f>
        <v>Totals as of December 31, 2025</v>
      </c>
      <c r="D31" s="120">
        <f>ROUND(D63,0)</f>
        <v>23568753</v>
      </c>
      <c r="E31" s="187">
        <f>ROUND(E63,0)</f>
        <v>-199785625</v>
      </c>
      <c r="F31" s="121"/>
      <c r="G31" s="120">
        <f>ROUND(G63,0)</f>
        <v>0</v>
      </c>
      <c r="H31" s="63"/>
      <c r="I31" s="120">
        <f>ROUND(I63,0)</f>
        <v>7376871</v>
      </c>
      <c r="J31" s="122">
        <f>+J63</f>
        <v>215977507.18800002</v>
      </c>
      <c r="K31" s="120">
        <f>ROUND(K63,0)</f>
        <v>223354378</v>
      </c>
      <c r="L31" s="68"/>
      <c r="M31" s="61"/>
      <c r="N31" s="61"/>
    </row>
    <row r="32" spans="1:14">
      <c r="A32" s="58">
        <f>+A31+1</f>
        <v>7</v>
      </c>
      <c r="B32" s="58"/>
      <c r="C32" s="57" t="str">
        <f>"Totals as of December 31, "&amp;TCOS!L4-1&amp;""</f>
        <v>Totals as of December 31, 2024</v>
      </c>
      <c r="D32" s="125">
        <f>IF(D95="","",D95)</f>
        <v>24187796.261999995</v>
      </c>
      <c r="E32" s="188">
        <f>IF(E95="","",E95)</f>
        <v>-187835997.17700002</v>
      </c>
      <c r="F32" s="59"/>
      <c r="G32" s="125" t="str">
        <f>IF(G95="","",G95)</f>
        <v/>
      </c>
      <c r="H32" s="63"/>
      <c r="I32" s="125">
        <f>IF(I95="","",I95)</f>
        <v>7369331.801</v>
      </c>
      <c r="J32" s="125">
        <f>IF(J95="","",J95)</f>
        <v>204654461.63800001</v>
      </c>
      <c r="K32" s="125">
        <f>IF(K95="","",K95)</f>
        <v>212023793.43900001</v>
      </c>
      <c r="L32" s="68"/>
      <c r="M32" s="61"/>
      <c r="N32" s="61"/>
    </row>
    <row r="33" spans="1:14" ht="13.5" thickBot="1">
      <c r="A33" s="58">
        <f>+A32+1</f>
        <v>8</v>
      </c>
      <c r="B33" s="58"/>
      <c r="C33" s="65" t="s">
        <v>214</v>
      </c>
      <c r="D33" s="126">
        <f>IF(D32="",0,(D31+D32)/2)</f>
        <v>23878274.630999997</v>
      </c>
      <c r="E33" s="126">
        <f>IF(E32="",0,(E31+E32)/2)</f>
        <v>-193810811.08850002</v>
      </c>
      <c r="F33" s="127"/>
      <c r="G33" s="126">
        <f>IF(G32="",0,(G31+G32)/2)</f>
        <v>0</v>
      </c>
      <c r="H33" s="75"/>
      <c r="I33" s="126">
        <f>IF(I32="",0,(I31+I32)/2)</f>
        <v>7373101.4004999995</v>
      </c>
      <c r="J33" s="126">
        <f>IF(J32="",0,(J31+J32)/2)</f>
        <v>210315984.41300002</v>
      </c>
      <c r="K33" s="126">
        <f>IF(K32="",0,(K31+K32)/2)</f>
        <v>217689085.71950001</v>
      </c>
      <c r="L33" s="68"/>
      <c r="M33" s="61"/>
      <c r="N33" s="61"/>
    </row>
    <row r="34" spans="1:14" ht="13.5" thickTop="1">
      <c r="B34" s="58"/>
      <c r="D34" s="64"/>
      <c r="E34" s="59"/>
      <c r="F34" s="59"/>
      <c r="H34" s="63"/>
      <c r="J34"/>
      <c r="K34" s="67"/>
      <c r="L34" s="68"/>
      <c r="M34" s="61"/>
      <c r="N34" s="61"/>
    </row>
    <row r="35" spans="1:14">
      <c r="A35" s="57"/>
      <c r="J35"/>
      <c r="K35" s="67"/>
      <c r="L35" s="68"/>
      <c r="M35" s="61"/>
      <c r="N35" s="61"/>
    </row>
    <row r="36" spans="1:14" ht="18">
      <c r="B36" s="1258" t="str">
        <f>"Prepayments Account 165 - Balance @ 12/31/"&amp;D38&amp;""</f>
        <v>Prepayments Account 165 - Balance @ 12/31/2025</v>
      </c>
      <c r="C36" s="1259"/>
      <c r="D36" s="1259"/>
      <c r="E36" s="1259"/>
      <c r="F36" s="1259"/>
      <c r="G36" s="1259"/>
      <c r="H36" s="1259"/>
      <c r="I36" s="1259"/>
      <c r="J36" s="1259"/>
      <c r="K36" s="67"/>
      <c r="L36" s="68"/>
      <c r="M36" s="61"/>
      <c r="N36" s="61"/>
    </row>
    <row r="37" spans="1:14">
      <c r="B37" s="113"/>
      <c r="C37" s="115"/>
      <c r="D37" s="17"/>
      <c r="E37" s="7"/>
      <c r="G37" s="7" t="s">
        <v>88</v>
      </c>
      <c r="I37" s="5" t="s">
        <v>116</v>
      </c>
      <c r="J37" s="5" t="s">
        <v>116</v>
      </c>
      <c r="K37" s="5" t="s">
        <v>180</v>
      </c>
      <c r="L37"/>
      <c r="M37" s="61"/>
      <c r="N37" s="61"/>
    </row>
    <row r="38" spans="1:14">
      <c r="B38" s="113"/>
      <c r="C38" s="116"/>
      <c r="D38" s="117" t="str">
        <f>""&amp;TCOS!L4</f>
        <v>2025</v>
      </c>
      <c r="E38" s="5" t="s">
        <v>532</v>
      </c>
      <c r="G38" s="5" t="s">
        <v>116</v>
      </c>
      <c r="I38" s="5" t="s">
        <v>524</v>
      </c>
      <c r="J38" s="5" t="s">
        <v>162</v>
      </c>
      <c r="K38" s="5" t="s">
        <v>181</v>
      </c>
      <c r="L38"/>
      <c r="M38" s="61"/>
      <c r="N38" s="61"/>
    </row>
    <row r="39" spans="1:14">
      <c r="A39" s="58">
        <f>+A33+1</f>
        <v>9</v>
      </c>
      <c r="B39" s="9" t="s">
        <v>91</v>
      </c>
      <c r="C39" s="9" t="s">
        <v>168</v>
      </c>
      <c r="D39" s="9" t="s">
        <v>89</v>
      </c>
      <c r="E39" s="9" t="s">
        <v>503</v>
      </c>
      <c r="G39" s="9" t="s">
        <v>525</v>
      </c>
      <c r="I39" s="9" t="s">
        <v>525</v>
      </c>
      <c r="J39" s="9" t="s">
        <v>525</v>
      </c>
      <c r="K39" s="9" t="s">
        <v>526</v>
      </c>
      <c r="L39" s="9" t="s">
        <v>40</v>
      </c>
      <c r="M39" s="61"/>
      <c r="N39" s="61"/>
    </row>
    <row r="40" spans="1:14">
      <c r="B40" s="113"/>
      <c r="C40" s="115"/>
      <c r="D40" s="115"/>
      <c r="E40" s="115"/>
      <c r="G40" s="115"/>
      <c r="I40" s="115"/>
      <c r="J40" s="115"/>
      <c r="K40" s="179"/>
      <c r="L40"/>
      <c r="M40" s="61"/>
      <c r="N40" s="61"/>
    </row>
    <row r="41" spans="1:14" ht="14.25">
      <c r="A41" s="58">
        <f>+A39+1</f>
        <v>10</v>
      </c>
      <c r="B41" s="627" t="s">
        <v>860</v>
      </c>
      <c r="C41" s="628" t="s">
        <v>861</v>
      </c>
      <c r="D41" s="928">
        <v>5511124.2609999999</v>
      </c>
      <c r="E41" s="81">
        <f>+D41-K41</f>
        <v>0</v>
      </c>
      <c r="G41" s="85"/>
      <c r="I41" s="85">
        <f>D41</f>
        <v>5511124.2609999999</v>
      </c>
      <c r="J41" s="85"/>
      <c r="K41" s="85">
        <f t="shared" ref="K41:K56" si="0">+G41+I41+J41</f>
        <v>5511124.2609999999</v>
      </c>
      <c r="L41" t="s">
        <v>533</v>
      </c>
      <c r="M41" s="61"/>
      <c r="N41" s="61"/>
    </row>
    <row r="42" spans="1:14" ht="14.25">
      <c r="A42" s="58">
        <f>+A41+1</f>
        <v>11</v>
      </c>
      <c r="B42" s="929">
        <v>165000222</v>
      </c>
      <c r="C42" s="628" t="s">
        <v>862</v>
      </c>
      <c r="D42" s="928">
        <v>0</v>
      </c>
      <c r="E42" s="81">
        <f t="shared" ref="E42:E58" si="1">+D42-K42</f>
        <v>0</v>
      </c>
      <c r="G42" s="85"/>
      <c r="I42" s="85"/>
      <c r="J42" s="85"/>
      <c r="K42" s="85">
        <f t="shared" si="0"/>
        <v>0</v>
      </c>
      <c r="L42" t="s">
        <v>884</v>
      </c>
      <c r="M42" s="61"/>
      <c r="N42" s="61"/>
    </row>
    <row r="43" spans="1:14" ht="14.25">
      <c r="A43" s="58">
        <f t="shared" ref="A43:A62" si="2">+A42+1</f>
        <v>12</v>
      </c>
      <c r="B43" s="627" t="s">
        <v>863</v>
      </c>
      <c r="C43" s="628" t="s">
        <v>864</v>
      </c>
      <c r="D43" s="928">
        <v>0</v>
      </c>
      <c r="E43" s="81">
        <f t="shared" si="1"/>
        <v>0</v>
      </c>
      <c r="G43" s="85"/>
      <c r="I43" s="85"/>
      <c r="J43" s="85"/>
      <c r="K43" s="85">
        <f t="shared" si="0"/>
        <v>0</v>
      </c>
      <c r="L43" t="s">
        <v>885</v>
      </c>
      <c r="M43" s="61"/>
      <c r="N43" s="61"/>
    </row>
    <row r="44" spans="1:14" ht="14.25">
      <c r="A44" s="58">
        <f t="shared" si="2"/>
        <v>13</v>
      </c>
      <c r="B44" s="627" t="s">
        <v>865</v>
      </c>
      <c r="C44" s="628" t="s">
        <v>866</v>
      </c>
      <c r="D44" s="928">
        <v>0</v>
      </c>
      <c r="E44" s="81">
        <f t="shared" si="1"/>
        <v>0</v>
      </c>
      <c r="G44" s="110"/>
      <c r="I44" s="110"/>
      <c r="J44" s="110"/>
      <c r="K44" s="110">
        <f t="shared" si="0"/>
        <v>0</v>
      </c>
      <c r="L44" t="s">
        <v>115</v>
      </c>
      <c r="M44" s="61"/>
      <c r="N44" s="61"/>
    </row>
    <row r="45" spans="1:14" ht="14.25">
      <c r="A45" s="58">
        <f t="shared" si="2"/>
        <v>14</v>
      </c>
      <c r="B45" s="627" t="s">
        <v>867</v>
      </c>
      <c r="C45" s="628" t="s">
        <v>868</v>
      </c>
      <c r="D45" s="928">
        <v>3447144.773</v>
      </c>
      <c r="E45" s="81">
        <f t="shared" si="1"/>
        <v>3447144.773</v>
      </c>
      <c r="G45" s="85"/>
      <c r="I45" s="85"/>
      <c r="J45" s="85"/>
      <c r="K45" s="110">
        <f t="shared" si="0"/>
        <v>0</v>
      </c>
      <c r="L45" t="s">
        <v>886</v>
      </c>
      <c r="M45" s="61"/>
      <c r="N45" s="61"/>
    </row>
    <row r="46" spans="1:14" ht="14.25">
      <c r="A46" s="58">
        <f t="shared" si="2"/>
        <v>15</v>
      </c>
      <c r="B46" s="627" t="s">
        <v>869</v>
      </c>
      <c r="C46" s="628" t="s">
        <v>870</v>
      </c>
      <c r="D46" s="928">
        <v>408758.88</v>
      </c>
      <c r="E46" s="81">
        <f t="shared" si="1"/>
        <v>408758.88</v>
      </c>
      <c r="G46" s="85"/>
      <c r="I46" s="85"/>
      <c r="J46" s="85"/>
      <c r="K46" s="110">
        <f t="shared" si="0"/>
        <v>0</v>
      </c>
      <c r="L46" t="s">
        <v>887</v>
      </c>
      <c r="M46" s="61"/>
      <c r="N46" s="61"/>
    </row>
    <row r="47" spans="1:14" ht="14.25">
      <c r="A47" s="58">
        <f t="shared" si="2"/>
        <v>16</v>
      </c>
      <c r="B47" s="627" t="s">
        <v>871</v>
      </c>
      <c r="C47" s="628" t="s">
        <v>872</v>
      </c>
      <c r="D47" s="928">
        <v>66697206.640000001</v>
      </c>
      <c r="E47" s="81">
        <f t="shared" si="1"/>
        <v>0</v>
      </c>
      <c r="G47" s="85"/>
      <c r="I47" s="85"/>
      <c r="J47" s="85">
        <f>D47</f>
        <v>66697206.640000001</v>
      </c>
      <c r="K47" s="110">
        <f t="shared" si="0"/>
        <v>66697206.640000001</v>
      </c>
      <c r="L47" s="4" t="s">
        <v>527</v>
      </c>
      <c r="M47" s="61"/>
      <c r="N47" s="61"/>
    </row>
    <row r="48" spans="1:14" ht="14.25">
      <c r="A48" s="58">
        <f t="shared" si="2"/>
        <v>17</v>
      </c>
      <c r="B48" s="627" t="s">
        <v>873</v>
      </c>
      <c r="C48" s="628" t="s">
        <v>874</v>
      </c>
      <c r="D48" s="928">
        <v>-66697206.640000001</v>
      </c>
      <c r="E48" s="81">
        <f t="shared" si="1"/>
        <v>-66697206.640000001</v>
      </c>
      <c r="G48" s="110"/>
      <c r="I48" s="110"/>
      <c r="J48" s="110"/>
      <c r="K48" s="110">
        <f t="shared" si="0"/>
        <v>0</v>
      </c>
      <c r="L48" t="s">
        <v>31</v>
      </c>
      <c r="M48" s="61"/>
      <c r="N48" s="61"/>
    </row>
    <row r="49" spans="1:14" ht="14.25">
      <c r="A49" s="58">
        <f t="shared" si="2"/>
        <v>18</v>
      </c>
      <c r="B49" s="630">
        <v>165001125</v>
      </c>
      <c r="C49" s="628" t="s">
        <v>875</v>
      </c>
      <c r="D49" s="928">
        <v>766459.3</v>
      </c>
      <c r="E49" s="81">
        <f t="shared" si="1"/>
        <v>766459.3</v>
      </c>
      <c r="G49" s="110"/>
      <c r="I49" s="110"/>
      <c r="J49" s="110"/>
      <c r="K49" s="110">
        <f t="shared" si="0"/>
        <v>0</v>
      </c>
      <c r="L49" t="s">
        <v>888</v>
      </c>
      <c r="M49" s="61"/>
      <c r="N49" s="61"/>
    </row>
    <row r="50" spans="1:14" ht="14.25">
      <c r="A50" s="58">
        <f t="shared" si="2"/>
        <v>19</v>
      </c>
      <c r="B50" s="630">
        <v>165001225</v>
      </c>
      <c r="C50" s="628" t="s">
        <v>876</v>
      </c>
      <c r="D50" s="928">
        <v>95855.71</v>
      </c>
      <c r="E50" s="81">
        <f t="shared" si="1"/>
        <v>95855.71</v>
      </c>
      <c r="G50" s="110"/>
      <c r="I50" s="110"/>
      <c r="J50" s="110"/>
      <c r="K50" s="110">
        <f t="shared" si="0"/>
        <v>0</v>
      </c>
      <c r="L50" t="s">
        <v>889</v>
      </c>
      <c r="M50" s="61"/>
      <c r="N50" s="61"/>
    </row>
    <row r="51" spans="1:14" ht="14.25">
      <c r="A51" s="58">
        <f t="shared" si="2"/>
        <v>20</v>
      </c>
      <c r="B51" s="630">
        <v>1650021</v>
      </c>
      <c r="C51" s="628" t="s">
        <v>877</v>
      </c>
      <c r="D51" s="928">
        <v>1865746.71</v>
      </c>
      <c r="E51" s="81">
        <f t="shared" si="1"/>
        <v>0</v>
      </c>
      <c r="G51" s="110"/>
      <c r="I51" s="110">
        <f>D51</f>
        <v>1865746.71</v>
      </c>
      <c r="J51" s="110"/>
      <c r="K51" s="110">
        <f t="shared" si="0"/>
        <v>1865746.71</v>
      </c>
      <c r="L51" t="s">
        <v>890</v>
      </c>
      <c r="M51" s="61"/>
      <c r="N51" s="61"/>
    </row>
    <row r="52" spans="1:14" ht="14.25">
      <c r="A52" s="58">
        <f t="shared" si="2"/>
        <v>21</v>
      </c>
      <c r="B52" s="630">
        <v>1650022</v>
      </c>
      <c r="C52" s="628" t="s">
        <v>878</v>
      </c>
      <c r="D52" s="928">
        <v>0</v>
      </c>
      <c r="E52" s="81">
        <f t="shared" si="1"/>
        <v>0</v>
      </c>
      <c r="G52" s="110"/>
      <c r="I52" s="110"/>
      <c r="J52" s="110"/>
      <c r="K52" s="110">
        <f t="shared" si="0"/>
        <v>0</v>
      </c>
      <c r="M52" s="61"/>
      <c r="N52" s="61"/>
    </row>
    <row r="53" spans="1:14" ht="14.25">
      <c r="A53" s="58">
        <f t="shared" si="2"/>
        <v>22</v>
      </c>
      <c r="B53" s="630">
        <v>1650023</v>
      </c>
      <c r="C53" s="628" t="s">
        <v>879</v>
      </c>
      <c r="D53" s="928">
        <v>373453.07</v>
      </c>
      <c r="E53" s="81">
        <f t="shared" si="1"/>
        <v>373453.07</v>
      </c>
      <c r="G53" s="110"/>
      <c r="I53" s="110"/>
      <c r="J53" s="110"/>
      <c r="K53" s="110">
        <f t="shared" si="0"/>
        <v>0</v>
      </c>
      <c r="L53" t="s">
        <v>956</v>
      </c>
      <c r="M53" s="61"/>
      <c r="N53" s="61"/>
    </row>
    <row r="54" spans="1:14" ht="14.25">
      <c r="A54" s="58">
        <f t="shared" si="2"/>
        <v>23</v>
      </c>
      <c r="B54" s="630">
        <v>1650024</v>
      </c>
      <c r="C54" s="628" t="s">
        <v>1172</v>
      </c>
      <c r="D54" s="928">
        <v>0.08</v>
      </c>
      <c r="E54" s="81">
        <f t="shared" si="1"/>
        <v>0.08</v>
      </c>
      <c r="G54" s="85"/>
      <c r="I54" s="85"/>
      <c r="J54" s="85"/>
      <c r="K54" s="110">
        <f t="shared" si="0"/>
        <v>0</v>
      </c>
      <c r="L54" t="s">
        <v>1084</v>
      </c>
      <c r="M54" s="61"/>
      <c r="N54" s="61"/>
    </row>
    <row r="55" spans="1:14" ht="14.25">
      <c r="A55" s="58">
        <f t="shared" si="2"/>
        <v>24</v>
      </c>
      <c r="B55" s="630">
        <v>1650026</v>
      </c>
      <c r="C55" s="628" t="s">
        <v>880</v>
      </c>
      <c r="D55" s="928">
        <v>0</v>
      </c>
      <c r="E55" s="81">
        <f t="shared" si="1"/>
        <v>0</v>
      </c>
      <c r="G55" s="110"/>
      <c r="I55" s="110"/>
      <c r="J55" s="110"/>
      <c r="K55" s="110">
        <f t="shared" si="0"/>
        <v>0</v>
      </c>
      <c r="L55" s="4"/>
      <c r="M55" s="61"/>
      <c r="N55" s="61"/>
    </row>
    <row r="56" spans="1:14" ht="14.25">
      <c r="A56" s="58">
        <f t="shared" si="2"/>
        <v>25</v>
      </c>
      <c r="B56" s="630">
        <v>1650030</v>
      </c>
      <c r="C56" s="628" t="s">
        <v>881</v>
      </c>
      <c r="D56" s="928">
        <v>196168.42</v>
      </c>
      <c r="E56" s="81">
        <f t="shared" si="1"/>
        <v>196168.42</v>
      </c>
      <c r="G56" s="85"/>
      <c r="I56" s="85"/>
      <c r="J56" s="85"/>
      <c r="K56" s="110">
        <f t="shared" si="0"/>
        <v>0</v>
      </c>
      <c r="L56" s="203" t="s">
        <v>955</v>
      </c>
      <c r="M56" s="61"/>
      <c r="N56" s="61"/>
    </row>
    <row r="57" spans="1:14" ht="14.25">
      <c r="A57" s="58">
        <f t="shared" si="2"/>
        <v>26</v>
      </c>
      <c r="B57" s="630">
        <v>1650035</v>
      </c>
      <c r="C57" s="628" t="s">
        <v>882</v>
      </c>
      <c r="D57" s="928">
        <v>149280300.54800001</v>
      </c>
      <c r="E57" s="81">
        <f t="shared" si="1"/>
        <v>0</v>
      </c>
      <c r="G57" s="85"/>
      <c r="I57" s="85"/>
      <c r="J57" s="85">
        <f>D57</f>
        <v>149280300.54800001</v>
      </c>
      <c r="K57" s="110">
        <f>J57</f>
        <v>149280300.54800001</v>
      </c>
      <c r="L57" s="4" t="s">
        <v>891</v>
      </c>
      <c r="M57" s="61"/>
      <c r="N57" s="61"/>
    </row>
    <row r="58" spans="1:14" ht="14.25">
      <c r="A58" s="58">
        <f t="shared" si="2"/>
        <v>27</v>
      </c>
      <c r="B58" s="630">
        <v>1650037</v>
      </c>
      <c r="C58" s="628" t="s">
        <v>883</v>
      </c>
      <c r="D58" s="928">
        <v>-149280300.53999999</v>
      </c>
      <c r="E58" s="81">
        <f t="shared" si="1"/>
        <v>-149280300.53999999</v>
      </c>
      <c r="G58" s="85"/>
      <c r="I58" s="85"/>
      <c r="J58" s="85"/>
      <c r="K58" s="110">
        <f>J58</f>
        <v>0</v>
      </c>
      <c r="L58" t="s">
        <v>31</v>
      </c>
      <c r="M58" s="61"/>
      <c r="N58" s="61"/>
    </row>
    <row r="59" spans="1:14" ht="14.25">
      <c r="A59" s="58">
        <f t="shared" si="2"/>
        <v>28</v>
      </c>
      <c r="B59" s="630" t="s">
        <v>1161</v>
      </c>
      <c r="C59" s="628" t="s">
        <v>1162</v>
      </c>
      <c r="D59" s="928">
        <v>2285341.7999999998</v>
      </c>
      <c r="E59" s="81">
        <f t="shared" ref="E59:E61" si="3">+D59-K59</f>
        <v>2285341.7999999998</v>
      </c>
      <c r="G59" s="110"/>
      <c r="I59" s="110"/>
      <c r="J59" s="110"/>
      <c r="K59" s="110">
        <f t="shared" ref="K59:K61" si="4">+G59+I59+J59</f>
        <v>0</v>
      </c>
      <c r="L59"/>
      <c r="M59" s="61"/>
      <c r="N59" s="61"/>
    </row>
    <row r="60" spans="1:14" ht="14.25">
      <c r="A60" s="58">
        <f t="shared" si="2"/>
        <v>29</v>
      </c>
      <c r="B60" s="630" t="s">
        <v>1163</v>
      </c>
      <c r="C60" s="628" t="s">
        <v>1164</v>
      </c>
      <c r="D60" s="928">
        <v>7731200</v>
      </c>
      <c r="E60" s="81">
        <f t="shared" si="3"/>
        <v>7731200</v>
      </c>
      <c r="G60" s="110"/>
      <c r="I60" s="110"/>
      <c r="J60" s="110"/>
      <c r="K60" s="110">
        <f t="shared" si="4"/>
        <v>0</v>
      </c>
      <c r="L60"/>
      <c r="M60" s="61"/>
      <c r="N60" s="61"/>
    </row>
    <row r="61" spans="1:14" ht="14.25">
      <c r="A61" s="58">
        <f t="shared" si="2"/>
        <v>30</v>
      </c>
      <c r="B61" s="630" t="s">
        <v>1165</v>
      </c>
      <c r="C61" s="628" t="s">
        <v>1166</v>
      </c>
      <c r="D61" s="928">
        <v>887500</v>
      </c>
      <c r="E61" s="81">
        <f t="shared" si="3"/>
        <v>887500</v>
      </c>
      <c r="G61" s="110"/>
      <c r="I61" s="110"/>
      <c r="J61" s="110"/>
      <c r="K61" s="110">
        <f t="shared" si="4"/>
        <v>0</v>
      </c>
      <c r="L61"/>
      <c r="M61" s="61"/>
      <c r="N61" s="61"/>
    </row>
    <row r="62" spans="1:14" ht="15" thickBot="1">
      <c r="A62" s="58">
        <f t="shared" si="2"/>
        <v>31</v>
      </c>
      <c r="B62" s="630"/>
      <c r="C62" s="628"/>
      <c r="D62" s="629"/>
      <c r="E62" s="110"/>
      <c r="G62" s="85"/>
      <c r="I62" s="85"/>
      <c r="J62" s="85"/>
      <c r="K62" s="110"/>
      <c r="M62" s="61"/>
      <c r="N62" s="61"/>
    </row>
    <row r="63" spans="1:14" ht="14.25">
      <c r="B63" s="113"/>
      <c r="C63" s="25" t="s">
        <v>504</v>
      </c>
      <c r="D63" s="631">
        <f>SUM(D41:D62)</f>
        <v>23568753.012000013</v>
      </c>
      <c r="E63" s="186">
        <f>SUM(E41:E62)</f>
        <v>-199785625.14699998</v>
      </c>
      <c r="G63" s="118">
        <f>SUM(G41:G62)</f>
        <v>0</v>
      </c>
      <c r="I63" s="118">
        <f>SUM(I41:I62)</f>
        <v>7376870.9709999999</v>
      </c>
      <c r="J63" s="118">
        <f>SUM(J41:J62)</f>
        <v>215977507.18800002</v>
      </c>
      <c r="K63" s="118">
        <f>SUM(K41:K62)</f>
        <v>223354378.15899998</v>
      </c>
      <c r="L63"/>
      <c r="M63" s="61"/>
      <c r="N63" s="61"/>
    </row>
    <row r="64" spans="1:14">
      <c r="K64" s="52"/>
      <c r="L64"/>
      <c r="M64" s="61"/>
      <c r="N64" s="61"/>
    </row>
    <row r="65" spans="1:15">
      <c r="B65"/>
      <c r="C65"/>
      <c r="D65"/>
      <c r="E65"/>
      <c r="F65"/>
      <c r="G65"/>
      <c r="H65"/>
      <c r="I65"/>
      <c r="J65"/>
      <c r="K65"/>
      <c r="L65"/>
      <c r="M65"/>
      <c r="N65"/>
      <c r="O65"/>
    </row>
    <row r="66" spans="1:15" ht="18">
      <c r="B66" s="1258" t="str">
        <f>"Prepayments Account 165 - Balance @ 12/31/ "&amp;D68&amp;""</f>
        <v>Prepayments Account 165 - Balance @ 12/31/ 2024</v>
      </c>
      <c r="C66" s="1258"/>
      <c r="D66" s="1258"/>
      <c r="E66" s="1258"/>
      <c r="F66" s="1258"/>
      <c r="G66" s="1258"/>
      <c r="H66" s="1258"/>
      <c r="I66" s="1258"/>
      <c r="J66" s="1258"/>
      <c r="K66" s="67"/>
      <c r="L66" s="68"/>
      <c r="M66" s="61"/>
      <c r="N66"/>
      <c r="O66"/>
    </row>
    <row r="67" spans="1:15">
      <c r="B67" s="197"/>
      <c r="C67" s="198"/>
      <c r="D67" s="199"/>
      <c r="E67" s="7"/>
      <c r="G67" s="7" t="s">
        <v>88</v>
      </c>
      <c r="I67" s="5" t="s">
        <v>116</v>
      </c>
      <c r="J67" s="5" t="s">
        <v>116</v>
      </c>
      <c r="K67" s="5" t="s">
        <v>180</v>
      </c>
      <c r="L67"/>
      <c r="M67" s="61"/>
      <c r="N67"/>
      <c r="O67"/>
    </row>
    <row r="68" spans="1:15">
      <c r="B68" s="197"/>
      <c r="C68" s="200"/>
      <c r="D68" s="5" t="str">
        <f>""&amp;TCOS!L4-1</f>
        <v>2024</v>
      </c>
      <c r="E68" s="5" t="s">
        <v>532</v>
      </c>
      <c r="G68" s="5" t="s">
        <v>116</v>
      </c>
      <c r="I68" s="5" t="s">
        <v>524</v>
      </c>
      <c r="J68" s="5" t="s">
        <v>162</v>
      </c>
      <c r="K68" s="5" t="s">
        <v>181</v>
      </c>
      <c r="L68"/>
      <c r="M68" s="61"/>
      <c r="N68"/>
      <c r="O68"/>
    </row>
    <row r="69" spans="1:15">
      <c r="A69" s="58">
        <f>A62+1</f>
        <v>32</v>
      </c>
      <c r="B69" s="9" t="s">
        <v>91</v>
      </c>
      <c r="C69" s="9" t="s">
        <v>168</v>
      </c>
      <c r="D69" s="9" t="s">
        <v>89</v>
      </c>
      <c r="E69" s="9" t="s">
        <v>503</v>
      </c>
      <c r="G69" s="9" t="s">
        <v>525</v>
      </c>
      <c r="I69" s="9" t="s">
        <v>525</v>
      </c>
      <c r="J69" s="9" t="s">
        <v>525</v>
      </c>
      <c r="K69" s="9" t="s">
        <v>526</v>
      </c>
      <c r="L69" s="9" t="s">
        <v>40</v>
      </c>
      <c r="M69" s="61"/>
      <c r="N69"/>
      <c r="O69"/>
    </row>
    <row r="70" spans="1:15">
      <c r="B70" s="113"/>
      <c r="C70" s="115"/>
      <c r="D70" s="115"/>
      <c r="E70" s="115"/>
      <c r="G70" s="115"/>
      <c r="I70" s="115"/>
      <c r="J70" s="115"/>
      <c r="K70" s="115"/>
      <c r="L70"/>
      <c r="M70" s="61"/>
      <c r="N70"/>
      <c r="O70"/>
    </row>
    <row r="71" spans="1:15" ht="14.25">
      <c r="A71" s="58">
        <f>+A69+1</f>
        <v>33</v>
      </c>
      <c r="B71" s="627" t="s">
        <v>860</v>
      </c>
      <c r="C71" s="628" t="s">
        <v>861</v>
      </c>
      <c r="D71" s="928">
        <v>5592783.551</v>
      </c>
      <c r="E71" s="81">
        <f>+D71-K71</f>
        <v>0</v>
      </c>
      <c r="G71" s="85"/>
      <c r="I71" s="85">
        <f>D71</f>
        <v>5592783.551</v>
      </c>
      <c r="J71" s="85"/>
      <c r="K71" s="85">
        <f t="shared" ref="K71:K88" si="5">+G71+I71+J71</f>
        <v>5592783.551</v>
      </c>
      <c r="L71" t="s">
        <v>533</v>
      </c>
      <c r="M71" s="61"/>
      <c r="N71"/>
      <c r="O71"/>
    </row>
    <row r="72" spans="1:15" ht="14.25">
      <c r="A72" s="58">
        <f t="shared" ref="A72:A94" si="6">+A71+1</f>
        <v>34</v>
      </c>
      <c r="B72" s="929">
        <v>165000221</v>
      </c>
      <c r="C72" s="628" t="s">
        <v>862</v>
      </c>
      <c r="D72" s="928">
        <v>0</v>
      </c>
      <c r="E72" s="81">
        <f t="shared" ref="E72:E93" si="7">+D72-K72</f>
        <v>0</v>
      </c>
      <c r="G72" s="85"/>
      <c r="I72" s="85"/>
      <c r="J72" s="85"/>
      <c r="K72" s="85">
        <f t="shared" si="5"/>
        <v>0</v>
      </c>
      <c r="L72" t="s">
        <v>115</v>
      </c>
      <c r="M72" s="61"/>
      <c r="N72"/>
      <c r="O72"/>
    </row>
    <row r="73" spans="1:15" ht="14.25">
      <c r="A73" s="58">
        <f t="shared" si="6"/>
        <v>35</v>
      </c>
      <c r="B73" s="929">
        <v>165000222</v>
      </c>
      <c r="C73" s="628" t="s">
        <v>862</v>
      </c>
      <c r="D73" s="928">
        <v>0</v>
      </c>
      <c r="E73" s="81">
        <f t="shared" si="7"/>
        <v>0</v>
      </c>
      <c r="G73" s="85"/>
      <c r="I73" s="85"/>
      <c r="J73" s="85"/>
      <c r="K73" s="85">
        <f t="shared" si="5"/>
        <v>0</v>
      </c>
      <c r="L73" t="s">
        <v>884</v>
      </c>
      <c r="M73" s="61"/>
      <c r="N73"/>
      <c r="O73"/>
    </row>
    <row r="74" spans="1:15" ht="14.25">
      <c r="A74" s="58">
        <f t="shared" si="6"/>
        <v>36</v>
      </c>
      <c r="B74" s="627" t="s">
        <v>863</v>
      </c>
      <c r="C74" s="628" t="s">
        <v>864</v>
      </c>
      <c r="D74" s="928">
        <v>0</v>
      </c>
      <c r="E74" s="81">
        <f t="shared" si="7"/>
        <v>0</v>
      </c>
      <c r="G74" s="85"/>
      <c r="I74" s="85"/>
      <c r="J74" s="85"/>
      <c r="K74" s="85">
        <f t="shared" si="5"/>
        <v>0</v>
      </c>
      <c r="L74" t="s">
        <v>885</v>
      </c>
      <c r="M74" s="61"/>
      <c r="N74"/>
      <c r="O74"/>
    </row>
    <row r="75" spans="1:15" ht="14.25">
      <c r="A75" s="58">
        <f t="shared" si="6"/>
        <v>37</v>
      </c>
      <c r="B75" s="627" t="s">
        <v>865</v>
      </c>
      <c r="C75" s="628" t="s">
        <v>866</v>
      </c>
      <c r="D75" s="928">
        <v>0</v>
      </c>
      <c r="E75" s="81">
        <f t="shared" si="7"/>
        <v>0</v>
      </c>
      <c r="G75" s="110"/>
      <c r="I75" s="110"/>
      <c r="J75" s="110"/>
      <c r="K75" s="110">
        <f t="shared" si="5"/>
        <v>0</v>
      </c>
      <c r="L75" t="s">
        <v>115</v>
      </c>
      <c r="M75" s="61"/>
      <c r="N75"/>
      <c r="O75"/>
    </row>
    <row r="76" spans="1:15" ht="14.25">
      <c r="A76" s="58">
        <f t="shared" si="6"/>
        <v>38</v>
      </c>
      <c r="B76" s="627" t="s">
        <v>867</v>
      </c>
      <c r="C76" s="628" t="s">
        <v>868</v>
      </c>
      <c r="D76" s="928">
        <v>4622224.9630000005</v>
      </c>
      <c r="E76" s="81">
        <f t="shared" si="7"/>
        <v>4622224.9630000005</v>
      </c>
      <c r="G76" s="85"/>
      <c r="I76" s="85"/>
      <c r="J76" s="85"/>
      <c r="K76" s="110">
        <f t="shared" si="5"/>
        <v>0</v>
      </c>
      <c r="L76" t="s">
        <v>886</v>
      </c>
      <c r="M76" s="61"/>
      <c r="N76"/>
      <c r="O76"/>
    </row>
    <row r="77" spans="1:15" ht="14.25">
      <c r="A77" s="58">
        <f t="shared" si="6"/>
        <v>39</v>
      </c>
      <c r="B77" s="627" t="s">
        <v>869</v>
      </c>
      <c r="C77" s="628" t="s">
        <v>870</v>
      </c>
      <c r="D77" s="928">
        <v>393640.87</v>
      </c>
      <c r="E77" s="81">
        <f t="shared" si="7"/>
        <v>393640.87</v>
      </c>
      <c r="G77" s="85"/>
      <c r="I77" s="85"/>
      <c r="J77" s="85"/>
      <c r="K77" s="110">
        <f t="shared" si="5"/>
        <v>0</v>
      </c>
      <c r="L77" t="s">
        <v>887</v>
      </c>
      <c r="M77" s="61"/>
      <c r="N77"/>
      <c r="O77"/>
    </row>
    <row r="78" spans="1:15" ht="14.25">
      <c r="A78" s="58">
        <f t="shared" si="6"/>
        <v>40</v>
      </c>
      <c r="B78" s="627" t="s">
        <v>871</v>
      </c>
      <c r="C78" s="628" t="s">
        <v>872</v>
      </c>
      <c r="D78" s="928">
        <v>64840391.520000003</v>
      </c>
      <c r="E78" s="81">
        <f t="shared" si="7"/>
        <v>0</v>
      </c>
      <c r="G78" s="85"/>
      <c r="I78" s="85"/>
      <c r="J78" s="85">
        <f>D78</f>
        <v>64840391.520000003</v>
      </c>
      <c r="K78" s="110">
        <f t="shared" si="5"/>
        <v>64840391.520000003</v>
      </c>
      <c r="L78" s="4" t="s">
        <v>527</v>
      </c>
      <c r="M78" s="61"/>
      <c r="N78"/>
      <c r="O78"/>
    </row>
    <row r="79" spans="1:15" ht="14.25">
      <c r="A79" s="58">
        <f t="shared" si="6"/>
        <v>41</v>
      </c>
      <c r="B79" s="627" t="s">
        <v>873</v>
      </c>
      <c r="C79" s="628" t="s">
        <v>874</v>
      </c>
      <c r="D79" s="928">
        <v>-64840391.520000003</v>
      </c>
      <c r="E79" s="81">
        <f t="shared" si="7"/>
        <v>-64840391.520000003</v>
      </c>
      <c r="G79" s="110"/>
      <c r="I79" s="110"/>
      <c r="J79" s="110"/>
      <c r="K79" s="110">
        <f t="shared" si="5"/>
        <v>0</v>
      </c>
      <c r="L79" t="s">
        <v>31</v>
      </c>
      <c r="M79" s="61"/>
      <c r="N79"/>
      <c r="O79"/>
    </row>
    <row r="80" spans="1:15" ht="14.25">
      <c r="A80" s="58">
        <f t="shared" si="6"/>
        <v>42</v>
      </c>
      <c r="B80" s="630">
        <v>165001124</v>
      </c>
      <c r="C80" s="628" t="s">
        <v>875</v>
      </c>
      <c r="D80" s="928">
        <v>788414.72</v>
      </c>
      <c r="E80" s="81">
        <f t="shared" si="7"/>
        <v>788414.72</v>
      </c>
      <c r="G80" s="110"/>
      <c r="I80" s="110"/>
      <c r="J80" s="110"/>
      <c r="K80" s="110">
        <f t="shared" si="5"/>
        <v>0</v>
      </c>
      <c r="L80" t="s">
        <v>888</v>
      </c>
      <c r="M80" s="61"/>
      <c r="N80"/>
      <c r="O80"/>
    </row>
    <row r="81" spans="1:15" ht="14.25">
      <c r="A81" s="58">
        <f t="shared" si="6"/>
        <v>43</v>
      </c>
      <c r="B81" s="630">
        <v>165001224</v>
      </c>
      <c r="C81" s="628" t="s">
        <v>876</v>
      </c>
      <c r="D81" s="928">
        <v>89200.5</v>
      </c>
      <c r="E81" s="81">
        <f t="shared" si="7"/>
        <v>89200.5</v>
      </c>
      <c r="G81" s="110"/>
      <c r="I81" s="110"/>
      <c r="J81" s="110"/>
      <c r="K81" s="110">
        <f t="shared" si="5"/>
        <v>0</v>
      </c>
      <c r="L81" t="s">
        <v>889</v>
      </c>
      <c r="M81" s="61"/>
      <c r="N81"/>
      <c r="O81"/>
    </row>
    <row r="82" spans="1:15" ht="14.25">
      <c r="A82" s="58">
        <f t="shared" si="6"/>
        <v>44</v>
      </c>
      <c r="B82" s="630">
        <v>1650017</v>
      </c>
      <c r="C82" s="628" t="s">
        <v>1083</v>
      </c>
      <c r="D82" s="928">
        <v>0</v>
      </c>
      <c r="E82" s="81">
        <f t="shared" si="7"/>
        <v>0</v>
      </c>
      <c r="G82" s="85"/>
      <c r="I82" s="85"/>
      <c r="J82" s="85"/>
      <c r="K82" s="110">
        <f t="shared" si="5"/>
        <v>0</v>
      </c>
      <c r="L82" t="s">
        <v>1084</v>
      </c>
      <c r="M82" s="61"/>
      <c r="N82"/>
      <c r="O82"/>
    </row>
    <row r="83" spans="1:15" ht="14.25">
      <c r="A83" s="58">
        <f t="shared" si="6"/>
        <v>45</v>
      </c>
      <c r="B83" s="630">
        <v>1650021</v>
      </c>
      <c r="C83" s="628" t="s">
        <v>877</v>
      </c>
      <c r="D83" s="928">
        <v>1776548.25</v>
      </c>
      <c r="E83" s="81">
        <f t="shared" si="7"/>
        <v>0</v>
      </c>
      <c r="G83" s="110"/>
      <c r="I83" s="110">
        <f>D83</f>
        <v>1776548.25</v>
      </c>
      <c r="J83" s="110"/>
      <c r="K83" s="110">
        <f t="shared" si="5"/>
        <v>1776548.25</v>
      </c>
      <c r="L83" t="s">
        <v>890</v>
      </c>
      <c r="M83" s="61"/>
      <c r="N83"/>
      <c r="O83"/>
    </row>
    <row r="84" spans="1:15" ht="14.25">
      <c r="A84" s="58">
        <f t="shared" si="6"/>
        <v>46</v>
      </c>
      <c r="B84" s="630">
        <v>1650022</v>
      </c>
      <c r="C84" s="628" t="s">
        <v>878</v>
      </c>
      <c r="D84" s="928">
        <v>0</v>
      </c>
      <c r="E84" s="81">
        <f t="shared" si="7"/>
        <v>0</v>
      </c>
      <c r="G84" s="110"/>
      <c r="I84" s="110"/>
      <c r="J84" s="110"/>
      <c r="K84" s="110">
        <f t="shared" si="5"/>
        <v>0</v>
      </c>
      <c r="M84" s="61"/>
      <c r="N84"/>
      <c r="O84"/>
    </row>
    <row r="85" spans="1:15" ht="14.25">
      <c r="A85" s="58">
        <f t="shared" si="6"/>
        <v>47</v>
      </c>
      <c r="B85" s="630">
        <v>1650023</v>
      </c>
      <c r="C85" s="628" t="s">
        <v>879</v>
      </c>
      <c r="D85" s="928">
        <v>274351.38</v>
      </c>
      <c r="E85" s="81">
        <f t="shared" si="7"/>
        <v>274351.38</v>
      </c>
      <c r="G85" s="110"/>
      <c r="I85" s="110"/>
      <c r="J85" s="110"/>
      <c r="K85" s="110">
        <f t="shared" si="5"/>
        <v>0</v>
      </c>
      <c r="L85" t="s">
        <v>956</v>
      </c>
      <c r="M85" s="61"/>
      <c r="N85"/>
      <c r="O85"/>
    </row>
    <row r="86" spans="1:15" ht="14.25">
      <c r="A86" s="58">
        <f t="shared" si="6"/>
        <v>48</v>
      </c>
      <c r="B86" s="630">
        <v>1650024</v>
      </c>
      <c r="C86" s="628" t="s">
        <v>1172</v>
      </c>
      <c r="D86" s="928">
        <v>887500.04</v>
      </c>
      <c r="E86" s="81">
        <f t="shared" si="7"/>
        <v>887500.04</v>
      </c>
      <c r="G86" s="85"/>
      <c r="I86" s="85"/>
      <c r="J86" s="85"/>
      <c r="K86" s="110">
        <f t="shared" si="5"/>
        <v>0</v>
      </c>
      <c r="L86" t="s">
        <v>1084</v>
      </c>
      <c r="M86" s="61"/>
      <c r="N86"/>
      <c r="O86"/>
    </row>
    <row r="87" spans="1:15" ht="14.25">
      <c r="A87" s="58">
        <f t="shared" si="6"/>
        <v>49</v>
      </c>
      <c r="B87" s="630">
        <v>1650026</v>
      </c>
      <c r="C87" s="628" t="s">
        <v>880</v>
      </c>
      <c r="D87" s="928">
        <v>0</v>
      </c>
      <c r="E87" s="81">
        <f t="shared" si="7"/>
        <v>0</v>
      </c>
      <c r="G87" s="110"/>
      <c r="I87" s="110"/>
      <c r="J87" s="110"/>
      <c r="K87" s="110">
        <f t="shared" si="5"/>
        <v>0</v>
      </c>
      <c r="L87" s="4"/>
      <c r="M87" s="61"/>
      <c r="N87"/>
      <c r="O87"/>
    </row>
    <row r="88" spans="1:15" ht="14.25">
      <c r="A88" s="58">
        <f t="shared" si="6"/>
        <v>50</v>
      </c>
      <c r="B88" s="630">
        <v>1650030</v>
      </c>
      <c r="C88" s="628" t="s">
        <v>881</v>
      </c>
      <c r="D88" s="928">
        <v>167483.70000000001</v>
      </c>
      <c r="E88" s="81">
        <f t="shared" si="7"/>
        <v>167483.70000000001</v>
      </c>
      <c r="G88" s="85"/>
      <c r="I88" s="85"/>
      <c r="J88" s="85"/>
      <c r="K88" s="110">
        <f t="shared" si="5"/>
        <v>0</v>
      </c>
      <c r="L88" s="203" t="s">
        <v>955</v>
      </c>
      <c r="M88" s="61"/>
      <c r="N88"/>
      <c r="O88"/>
    </row>
    <row r="89" spans="1:15" ht="14.25">
      <c r="A89" s="58">
        <f t="shared" si="6"/>
        <v>51</v>
      </c>
      <c r="B89" s="630">
        <v>1650035</v>
      </c>
      <c r="C89" s="628" t="s">
        <v>882</v>
      </c>
      <c r="D89" s="928">
        <v>139814070.118</v>
      </c>
      <c r="E89" s="81">
        <f t="shared" si="7"/>
        <v>0</v>
      </c>
      <c r="G89" s="85"/>
      <c r="I89" s="85"/>
      <c r="J89" s="85">
        <f>D89</f>
        <v>139814070.118</v>
      </c>
      <c r="K89" s="110">
        <f>J89</f>
        <v>139814070.118</v>
      </c>
      <c r="L89" s="4" t="s">
        <v>891</v>
      </c>
      <c r="M89" s="61"/>
      <c r="N89"/>
      <c r="O89"/>
    </row>
    <row r="90" spans="1:15" ht="14.25">
      <c r="A90" s="58">
        <f t="shared" si="6"/>
        <v>52</v>
      </c>
      <c r="B90" s="630">
        <v>1650037</v>
      </c>
      <c r="C90" s="628" t="s">
        <v>883</v>
      </c>
      <c r="D90" s="928">
        <v>-139814070.11000001</v>
      </c>
      <c r="E90" s="81">
        <f t="shared" si="7"/>
        <v>-139814070.11000001</v>
      </c>
      <c r="G90" s="85"/>
      <c r="I90" s="85"/>
      <c r="J90" s="85"/>
      <c r="K90" s="110">
        <f>J90</f>
        <v>0</v>
      </c>
      <c r="L90" t="s">
        <v>31</v>
      </c>
      <c r="M90" s="61"/>
      <c r="N90"/>
      <c r="O90"/>
    </row>
    <row r="91" spans="1:15" ht="14.25">
      <c r="A91" s="58">
        <f t="shared" si="6"/>
        <v>53</v>
      </c>
      <c r="B91" s="630" t="s">
        <v>1161</v>
      </c>
      <c r="C91" s="628" t="s">
        <v>1162</v>
      </c>
      <c r="D91" s="928">
        <v>2127748.2799999998</v>
      </c>
      <c r="E91" s="81">
        <f t="shared" si="7"/>
        <v>2127748.2799999998</v>
      </c>
      <c r="G91" s="110"/>
      <c r="I91" s="110"/>
      <c r="J91" s="110"/>
      <c r="K91" s="110">
        <f t="shared" ref="K91:K93" si="8">+G91+I91+J91</f>
        <v>0</v>
      </c>
      <c r="L91"/>
      <c r="M91" s="61"/>
      <c r="N91"/>
      <c r="O91"/>
    </row>
    <row r="92" spans="1:15" ht="14.25">
      <c r="A92" s="58">
        <f t="shared" si="6"/>
        <v>54</v>
      </c>
      <c r="B92" s="630" t="s">
        <v>1163</v>
      </c>
      <c r="C92" s="628" t="s">
        <v>1164</v>
      </c>
      <c r="D92" s="928">
        <v>6580400</v>
      </c>
      <c r="E92" s="81">
        <f t="shared" si="7"/>
        <v>6580400</v>
      </c>
      <c r="G92" s="110"/>
      <c r="I92" s="110"/>
      <c r="J92" s="110"/>
      <c r="K92" s="110">
        <f t="shared" si="8"/>
        <v>0</v>
      </c>
      <c r="L92"/>
      <c r="M92" s="61"/>
      <c r="N92"/>
      <c r="O92"/>
    </row>
    <row r="93" spans="1:15" ht="14.25">
      <c r="A93" s="58">
        <f t="shared" si="6"/>
        <v>55</v>
      </c>
      <c r="B93" s="630" t="s">
        <v>1165</v>
      </c>
      <c r="C93" s="628" t="s">
        <v>1166</v>
      </c>
      <c r="D93" s="928">
        <v>887500</v>
      </c>
      <c r="E93" s="81">
        <f t="shared" si="7"/>
        <v>887500</v>
      </c>
      <c r="G93" s="110"/>
      <c r="I93" s="110"/>
      <c r="J93" s="110"/>
      <c r="K93" s="110">
        <f t="shared" si="8"/>
        <v>0</v>
      </c>
      <c r="L93"/>
      <c r="M93" s="61"/>
      <c r="N93"/>
      <c r="O93"/>
    </row>
    <row r="94" spans="1:15" ht="15" thickBot="1">
      <c r="A94" s="58">
        <f t="shared" si="6"/>
        <v>56</v>
      </c>
      <c r="B94" s="630"/>
      <c r="C94" s="628"/>
      <c r="D94" s="629"/>
      <c r="E94" s="977"/>
      <c r="F94" s="976"/>
      <c r="G94" s="85"/>
      <c r="H94" s="976"/>
      <c r="I94" s="85"/>
      <c r="J94" s="85"/>
      <c r="K94" s="977"/>
      <c r="L94" s="978" t="s">
        <v>115</v>
      </c>
      <c r="M94" s="61"/>
      <c r="N94"/>
      <c r="O94"/>
    </row>
    <row r="95" spans="1:15" ht="14.25">
      <c r="B95" s="113"/>
      <c r="C95" s="25" t="s">
        <v>384</v>
      </c>
      <c r="D95" s="631">
        <f>IF(SUM(D71:D94)=0,"",SUM(D71:D94))</f>
        <v>24187796.261999995</v>
      </c>
      <c r="E95" s="186">
        <f>IF(SUM(E71:E94)=0,"",SUM(E71:E94))</f>
        <v>-187835997.17700002</v>
      </c>
      <c r="G95" s="118" t="str">
        <f>IF(SUM(G71:G94)=0,"",SUM(G71:G94))</f>
        <v/>
      </c>
      <c r="I95" s="118">
        <f>IF(SUM(I71:I94)=0,"",SUM(I71:I94))</f>
        <v>7369331.801</v>
      </c>
      <c r="J95" s="118">
        <f>IF(SUM(J71:J94)=0,"",SUM(J71:J94))</f>
        <v>204654461.63800001</v>
      </c>
      <c r="K95" s="118">
        <f>IF(SUM(K71:K94)=0,"",SUM(K71:K94))</f>
        <v>212023793.43900001</v>
      </c>
      <c r="L95"/>
      <c r="M95" s="61"/>
      <c r="N95"/>
      <c r="O95"/>
    </row>
    <row r="96" spans="1:15">
      <c r="B96" s="58"/>
      <c r="C96"/>
      <c r="D96"/>
      <c r="E96"/>
      <c r="F96"/>
      <c r="G96"/>
      <c r="H96"/>
      <c r="I96"/>
      <c r="J96"/>
      <c r="K96"/>
      <c r="L96"/>
      <c r="M96"/>
      <c r="N96"/>
      <c r="O96"/>
    </row>
    <row r="97" spans="1:15" ht="18.75" customHeight="1">
      <c r="A97" s="58" t="s">
        <v>625</v>
      </c>
      <c r="B97" s="1236" t="s">
        <v>815</v>
      </c>
      <c r="C97" s="1236"/>
      <c r="D97" s="1236"/>
      <c r="E97" s="1236"/>
      <c r="F97" s="1236"/>
      <c r="G97" s="1236"/>
      <c r="H97" s="1236"/>
      <c r="I97" s="1236"/>
      <c r="J97" s="1236"/>
      <c r="K97" s="1236"/>
      <c r="L97" s="1236"/>
      <c r="M97"/>
      <c r="N97"/>
      <c r="O97"/>
    </row>
    <row r="98" spans="1:15" ht="18.75" customHeight="1">
      <c r="A98" s="4"/>
      <c r="B98" s="1236"/>
      <c r="C98" s="1236"/>
      <c r="D98" s="1236"/>
      <c r="E98" s="1236"/>
      <c r="F98" s="1236"/>
      <c r="G98" s="1236"/>
      <c r="H98" s="1236"/>
      <c r="I98" s="1236"/>
      <c r="J98" s="1236"/>
      <c r="K98" s="1236"/>
      <c r="L98" s="1236"/>
      <c r="M98"/>
      <c r="N98"/>
      <c r="O98"/>
    </row>
    <row r="99" spans="1:15" ht="18">
      <c r="E99" s="670"/>
      <c r="F99" s="670"/>
      <c r="G99" s="670"/>
      <c r="H99" s="670"/>
      <c r="I99" s="670"/>
      <c r="J99" s="670"/>
      <c r="K99" s="670"/>
      <c r="L99" s="68"/>
      <c r="M99" s="61"/>
      <c r="N99" s="61"/>
    </row>
    <row r="100" spans="1:15" ht="12.75" customHeight="1">
      <c r="E100" s="5"/>
      <c r="G100" s="5"/>
      <c r="H100" s="61"/>
      <c r="I100" s="61"/>
    </row>
    <row r="101" spans="1:15">
      <c r="E101" s="5"/>
      <c r="G101" s="5"/>
      <c r="H101"/>
      <c r="I101"/>
      <c r="J101"/>
    </row>
    <row r="102" spans="1:15">
      <c r="E102" s="9"/>
      <c r="G102" s="9"/>
      <c r="H102"/>
      <c r="I102"/>
      <c r="J102"/>
    </row>
    <row r="103" spans="1:15">
      <c r="E103"/>
      <c r="F103"/>
      <c r="G103"/>
      <c r="H103"/>
      <c r="I103"/>
      <c r="J103"/>
      <c r="K103"/>
      <c r="L103"/>
      <c r="M103"/>
      <c r="N103"/>
      <c r="O103"/>
    </row>
    <row r="104" spans="1:15">
      <c r="E104"/>
      <c r="F104"/>
      <c r="G104"/>
      <c r="H104"/>
      <c r="I104"/>
      <c r="J104"/>
      <c r="K104"/>
      <c r="L104"/>
      <c r="M104"/>
      <c r="N104"/>
      <c r="O104"/>
    </row>
    <row r="105" spans="1:15">
      <c r="E105"/>
      <c r="F105"/>
      <c r="G105"/>
      <c r="H105"/>
      <c r="I105"/>
      <c r="J105"/>
      <c r="K105"/>
      <c r="L105"/>
      <c r="M105"/>
      <c r="N105"/>
      <c r="O105"/>
    </row>
    <row r="106" spans="1:15">
      <c r="A106"/>
      <c r="B106"/>
      <c r="C106"/>
      <c r="D106"/>
      <c r="E106"/>
      <c r="F106"/>
      <c r="G106"/>
      <c r="H106"/>
      <c r="I106"/>
      <c r="J106"/>
      <c r="K106"/>
      <c r="L106"/>
      <c r="M106"/>
      <c r="N106"/>
      <c r="O106"/>
    </row>
    <row r="107" spans="1:15">
      <c r="A107"/>
      <c r="B107"/>
      <c r="C107"/>
      <c r="D107"/>
      <c r="E107"/>
      <c r="F107"/>
      <c r="G107"/>
      <c r="H107"/>
      <c r="I107"/>
      <c r="J107"/>
      <c r="K107"/>
      <c r="L107"/>
      <c r="M107"/>
      <c r="N107"/>
      <c r="O107"/>
    </row>
    <row r="108" spans="1:15">
      <c r="A108"/>
      <c r="B108"/>
      <c r="C108"/>
      <c r="D108"/>
      <c r="E108"/>
      <c r="F108"/>
      <c r="G108"/>
      <c r="H108"/>
      <c r="I108"/>
      <c r="J108"/>
      <c r="K108"/>
      <c r="L108"/>
      <c r="M108"/>
      <c r="N108"/>
      <c r="O108"/>
    </row>
    <row r="109" spans="1:15">
      <c r="A109"/>
      <c r="B109"/>
      <c r="C109"/>
      <c r="D109"/>
      <c r="E109"/>
      <c r="F109"/>
      <c r="G109"/>
      <c r="H109"/>
      <c r="I109"/>
      <c r="J109"/>
      <c r="K109"/>
      <c r="L109"/>
      <c r="M109"/>
      <c r="N109"/>
      <c r="O109"/>
    </row>
    <row r="110" spans="1:15">
      <c r="A110"/>
      <c r="B110"/>
      <c r="C110"/>
      <c r="D110"/>
      <c r="E110"/>
      <c r="F110"/>
      <c r="G110"/>
      <c r="H110"/>
      <c r="I110"/>
      <c r="J110"/>
      <c r="K110"/>
      <c r="L110"/>
      <c r="M110"/>
      <c r="N110"/>
      <c r="O110"/>
    </row>
    <row r="111" spans="1:15">
      <c r="A111"/>
      <c r="B111"/>
      <c r="C111"/>
      <c r="D111"/>
      <c r="E111"/>
      <c r="F111"/>
      <c r="G111"/>
      <c r="H111"/>
      <c r="I111"/>
      <c r="J111"/>
      <c r="K111"/>
      <c r="L111"/>
      <c r="M111"/>
      <c r="N111"/>
      <c r="O111"/>
    </row>
    <row r="112" spans="1:15">
      <c r="A112"/>
      <c r="B112"/>
      <c r="C112"/>
      <c r="D112"/>
      <c r="E112"/>
      <c r="F112"/>
      <c r="G112"/>
      <c r="H112"/>
      <c r="I112"/>
      <c r="J112"/>
      <c r="K112"/>
      <c r="L112"/>
      <c r="M112"/>
      <c r="N112"/>
      <c r="O112"/>
    </row>
    <row r="113" spans="1:15">
      <c r="A113"/>
      <c r="B113"/>
      <c r="C113"/>
      <c r="D113"/>
      <c r="E113"/>
      <c r="F113"/>
      <c r="G113"/>
      <c r="H113"/>
      <c r="I113"/>
      <c r="J113"/>
      <c r="K113"/>
      <c r="L113"/>
      <c r="M113"/>
      <c r="N113"/>
      <c r="O113"/>
    </row>
    <row r="114" spans="1:15">
      <c r="A114"/>
      <c r="B114"/>
      <c r="C114"/>
      <c r="D114"/>
      <c r="E114"/>
      <c r="F114"/>
      <c r="G114"/>
      <c r="H114"/>
      <c r="I114"/>
      <c r="J114"/>
      <c r="K114"/>
      <c r="L114"/>
      <c r="M114"/>
      <c r="N114"/>
      <c r="O114"/>
    </row>
    <row r="115" spans="1:15">
      <c r="A115"/>
      <c r="B115"/>
      <c r="C115"/>
      <c r="D115"/>
      <c r="E115"/>
      <c r="F115"/>
      <c r="G115"/>
      <c r="H115"/>
      <c r="I115"/>
      <c r="J115"/>
      <c r="K115"/>
      <c r="L115"/>
      <c r="M115"/>
      <c r="N115"/>
      <c r="O115"/>
    </row>
    <row r="116" spans="1:15">
      <c r="A116"/>
      <c r="B116"/>
      <c r="C116"/>
      <c r="D116"/>
      <c r="E116"/>
      <c r="F116"/>
      <c r="G116"/>
      <c r="H116"/>
      <c r="I116"/>
      <c r="J116"/>
      <c r="K116"/>
      <c r="L116"/>
      <c r="M116"/>
      <c r="N116"/>
      <c r="O116"/>
    </row>
    <row r="117" spans="1:15">
      <c r="A117"/>
      <c r="B117"/>
      <c r="C117"/>
      <c r="D117"/>
      <c r="E117"/>
      <c r="F117"/>
      <c r="G117"/>
      <c r="H117"/>
      <c r="I117"/>
      <c r="J117"/>
      <c r="K117"/>
      <c r="L117"/>
      <c r="M117"/>
      <c r="N117"/>
      <c r="O117"/>
    </row>
    <row r="118" spans="1:15">
      <c r="A118"/>
      <c r="B118"/>
      <c r="C118"/>
      <c r="D118"/>
      <c r="E118"/>
      <c r="F118"/>
      <c r="G118"/>
      <c r="H118"/>
      <c r="I118"/>
      <c r="J118"/>
      <c r="K118"/>
      <c r="L118"/>
      <c r="M118"/>
      <c r="N118"/>
      <c r="O118"/>
    </row>
    <row r="119" spans="1:15">
      <c r="A119"/>
      <c r="B119"/>
      <c r="C119"/>
      <c r="D119"/>
      <c r="E119"/>
      <c r="F119"/>
      <c r="G119"/>
      <c r="H119"/>
      <c r="I119"/>
      <c r="J119"/>
      <c r="K119"/>
      <c r="L119"/>
      <c r="M119"/>
      <c r="N119"/>
      <c r="O119"/>
    </row>
    <row r="120" spans="1:15">
      <c r="A120"/>
      <c r="B120"/>
      <c r="C120"/>
      <c r="D120"/>
      <c r="E120"/>
      <c r="F120"/>
      <c r="G120"/>
      <c r="H120"/>
      <c r="I120"/>
      <c r="J120"/>
      <c r="K120"/>
      <c r="L120"/>
      <c r="M120"/>
      <c r="N120"/>
      <c r="O120"/>
    </row>
    <row r="121" spans="1:15">
      <c r="A121"/>
      <c r="B121"/>
      <c r="C121"/>
      <c r="D121"/>
      <c r="E121"/>
      <c r="F121"/>
      <c r="G121"/>
      <c r="H121"/>
      <c r="I121"/>
      <c r="J121"/>
      <c r="K121"/>
      <c r="L121"/>
      <c r="M121"/>
      <c r="N121"/>
      <c r="O121"/>
    </row>
    <row r="122" spans="1:15">
      <c r="A122"/>
      <c r="B122"/>
      <c r="C122"/>
      <c r="D122"/>
      <c r="E122"/>
      <c r="F122"/>
      <c r="G122"/>
      <c r="H122"/>
      <c r="I122"/>
      <c r="J122"/>
      <c r="K122"/>
      <c r="L122"/>
      <c r="M122"/>
      <c r="N122"/>
      <c r="O122"/>
    </row>
    <row r="123" spans="1:15">
      <c r="A123"/>
      <c r="B123"/>
      <c r="C123"/>
      <c r="D123"/>
      <c r="E123"/>
      <c r="F123"/>
      <c r="G123"/>
      <c r="H123"/>
      <c r="I123"/>
      <c r="J123"/>
      <c r="K123"/>
      <c r="L123"/>
      <c r="M123"/>
      <c r="N123"/>
      <c r="O123"/>
    </row>
    <row r="124" spans="1:15">
      <c r="A124"/>
      <c r="B124"/>
      <c r="C124"/>
      <c r="D124"/>
      <c r="E124"/>
      <c r="F124"/>
      <c r="G124"/>
      <c r="H124"/>
      <c r="I124"/>
      <c r="J124"/>
      <c r="K124"/>
      <c r="L124"/>
      <c r="M124"/>
      <c r="N124"/>
      <c r="O124"/>
    </row>
    <row r="125" spans="1:15">
      <c r="A125"/>
      <c r="B125"/>
      <c r="C125"/>
      <c r="D125"/>
      <c r="E125"/>
      <c r="F125"/>
      <c r="G125"/>
      <c r="H125"/>
      <c r="I125"/>
      <c r="J125"/>
      <c r="K125"/>
      <c r="L125"/>
      <c r="M125"/>
      <c r="N125"/>
      <c r="O125"/>
    </row>
    <row r="126" spans="1:15">
      <c r="A126"/>
      <c r="B126"/>
      <c r="C126"/>
      <c r="D126"/>
      <c r="E126"/>
      <c r="F126"/>
      <c r="G126"/>
      <c r="H126"/>
      <c r="I126"/>
      <c r="J126"/>
      <c r="K126"/>
      <c r="L126"/>
      <c r="M126"/>
      <c r="N126"/>
      <c r="O126"/>
    </row>
    <row r="127" spans="1:15">
      <c r="A127"/>
      <c r="B127"/>
      <c r="C127"/>
      <c r="D127"/>
      <c r="E127"/>
      <c r="F127"/>
      <c r="G127"/>
      <c r="H127"/>
      <c r="I127"/>
      <c r="J127"/>
      <c r="K127"/>
      <c r="L127"/>
      <c r="M127"/>
      <c r="N127"/>
      <c r="O127"/>
    </row>
    <row r="128" spans="1:15">
      <c r="A128"/>
      <c r="B128"/>
      <c r="C128"/>
      <c r="D128"/>
      <c r="E128"/>
      <c r="F128"/>
      <c r="G128"/>
      <c r="H128"/>
      <c r="I128"/>
      <c r="J128"/>
      <c r="K128"/>
      <c r="L128"/>
      <c r="M128"/>
      <c r="N128"/>
      <c r="O128"/>
    </row>
    <row r="129" spans="1:15">
      <c r="A129"/>
      <c r="B129"/>
      <c r="C129"/>
      <c r="D129"/>
      <c r="E129"/>
      <c r="F129"/>
      <c r="G129"/>
      <c r="H129"/>
      <c r="I129"/>
      <c r="J129"/>
      <c r="K129"/>
      <c r="L129"/>
      <c r="M129"/>
      <c r="N129"/>
      <c r="O129"/>
    </row>
    <row r="130" spans="1:15">
      <c r="A130"/>
      <c r="B130"/>
      <c r="C130"/>
      <c r="D130"/>
      <c r="E130"/>
      <c r="F130"/>
      <c r="G130"/>
      <c r="H130"/>
      <c r="I130"/>
      <c r="J130"/>
      <c r="K130"/>
      <c r="L130"/>
      <c r="M130"/>
      <c r="N130"/>
      <c r="O130"/>
    </row>
    <row r="131" spans="1:15">
      <c r="A131"/>
      <c r="B131"/>
      <c r="C131"/>
      <c r="D131"/>
      <c r="E131"/>
      <c r="F131"/>
      <c r="G131"/>
      <c r="H131"/>
      <c r="I131"/>
      <c r="J131"/>
      <c r="K131"/>
      <c r="L131"/>
      <c r="M131"/>
      <c r="N131"/>
      <c r="O131"/>
    </row>
    <row r="132" spans="1:15">
      <c r="A132"/>
      <c r="B132"/>
      <c r="C132"/>
      <c r="D132"/>
      <c r="E132"/>
      <c r="F132"/>
      <c r="G132"/>
      <c r="H132"/>
      <c r="I132"/>
      <c r="J132"/>
      <c r="K132"/>
      <c r="L132"/>
      <c r="M132"/>
      <c r="N132"/>
      <c r="O132"/>
    </row>
    <row r="133" spans="1:15">
      <c r="A133"/>
      <c r="B133"/>
      <c r="C133"/>
      <c r="D133"/>
      <c r="E133"/>
      <c r="F133"/>
      <c r="G133"/>
      <c r="H133"/>
      <c r="I133"/>
      <c r="J133"/>
      <c r="K133"/>
      <c r="L133"/>
      <c r="M133"/>
      <c r="N133"/>
      <c r="O133"/>
    </row>
    <row r="134" spans="1:15">
      <c r="A134"/>
      <c r="B134"/>
      <c r="C134"/>
      <c r="D134"/>
      <c r="E134"/>
      <c r="F134"/>
      <c r="G134"/>
      <c r="H134"/>
      <c r="I134"/>
      <c r="J134"/>
      <c r="K134"/>
      <c r="L134"/>
      <c r="M134"/>
      <c r="N134"/>
      <c r="O134"/>
    </row>
    <row r="135" spans="1:15">
      <c r="A135"/>
      <c r="B135"/>
      <c r="C135"/>
      <c r="D135"/>
      <c r="E135"/>
      <c r="F135"/>
      <c r="G135"/>
      <c r="H135"/>
      <c r="I135"/>
      <c r="J135"/>
      <c r="K135"/>
      <c r="L135"/>
      <c r="M135"/>
      <c r="N135"/>
      <c r="O135"/>
    </row>
    <row r="136" spans="1:15">
      <c r="A136"/>
      <c r="B136"/>
      <c r="C136"/>
      <c r="D136"/>
      <c r="E136"/>
      <c r="F136"/>
      <c r="G136"/>
      <c r="H136"/>
      <c r="I136"/>
      <c r="J136"/>
      <c r="K136"/>
      <c r="L136"/>
      <c r="M136"/>
      <c r="N136"/>
      <c r="O136"/>
    </row>
    <row r="137" spans="1:15">
      <c r="A137"/>
      <c r="B137"/>
      <c r="C137"/>
      <c r="D137"/>
      <c r="E137"/>
      <c r="F137"/>
      <c r="G137"/>
      <c r="H137"/>
      <c r="I137"/>
      <c r="J137"/>
      <c r="K137"/>
      <c r="L137"/>
      <c r="M137"/>
      <c r="N137"/>
      <c r="O137"/>
    </row>
    <row r="138" spans="1:15">
      <c r="A138"/>
      <c r="B138"/>
      <c r="C138"/>
      <c r="D138"/>
      <c r="E138"/>
      <c r="F138"/>
      <c r="G138"/>
      <c r="H138"/>
      <c r="I138"/>
      <c r="J138"/>
      <c r="K138"/>
      <c r="L138"/>
      <c r="M138"/>
      <c r="N138"/>
      <c r="O138"/>
    </row>
    <row r="139" spans="1:15">
      <c r="A139"/>
      <c r="B139"/>
      <c r="C139"/>
      <c r="D139"/>
      <c r="E139"/>
      <c r="F139"/>
      <c r="G139"/>
      <c r="H139"/>
      <c r="I139"/>
      <c r="J139"/>
      <c r="K139"/>
      <c r="L139"/>
      <c r="M139"/>
      <c r="N139"/>
      <c r="O139"/>
    </row>
    <row r="140" spans="1:15">
      <c r="A140"/>
      <c r="B140"/>
      <c r="C140"/>
      <c r="D140"/>
      <c r="E140"/>
      <c r="F140"/>
      <c r="G140"/>
      <c r="H140"/>
      <c r="I140"/>
      <c r="J140"/>
      <c r="K140"/>
      <c r="L140"/>
      <c r="M140"/>
      <c r="N140"/>
      <c r="O140"/>
    </row>
    <row r="141" spans="1:15">
      <c r="A141"/>
      <c r="B141"/>
      <c r="C141"/>
      <c r="D141"/>
      <c r="E141"/>
      <c r="F141"/>
      <c r="G141"/>
      <c r="H141"/>
      <c r="I141"/>
      <c r="J141"/>
      <c r="K141"/>
      <c r="L141"/>
      <c r="M141"/>
      <c r="N141"/>
      <c r="O141"/>
    </row>
  </sheetData>
  <mergeCells count="12">
    <mergeCell ref="G12:G13"/>
    <mergeCell ref="B97:L98"/>
    <mergeCell ref="B10:K10"/>
    <mergeCell ref="A3:L3"/>
    <mergeCell ref="A4:L4"/>
    <mergeCell ref="A5:L5"/>
    <mergeCell ref="A6:L6"/>
    <mergeCell ref="B66:J66"/>
    <mergeCell ref="B26:K26"/>
    <mergeCell ref="E12:E13"/>
    <mergeCell ref="I12:I13"/>
    <mergeCell ref="B36:J36"/>
  </mergeCells>
  <phoneticPr fontId="7" type="noConversion"/>
  <pageMargins left="1.08" right="0.75" top="1" bottom="0.41" header="0.86" footer="0.27"/>
  <pageSetup scale="39" orientation="landscape" r:id="rId1"/>
  <headerFooter alignWithMargins="0">
    <oddHeader>&amp;R&amp;"Arial,Bold"Formula Rate
&amp;A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O38"/>
  <sheetViews>
    <sheetView tabSelected="1" zoomScaleNormal="100" zoomScaleSheetLayoutView="100" workbookViewId="0">
      <selection activeCell="D9" sqref="D9"/>
    </sheetView>
  </sheetViews>
  <sheetFormatPr defaultColWidth="8.85546875" defaultRowHeight="12.75"/>
  <cols>
    <col min="1" max="1" width="9.42578125" style="1" bestFit="1" customWidth="1"/>
    <col min="2" max="2" width="65.140625" bestFit="1" customWidth="1"/>
    <col min="3" max="3" width="12.5703125" bestFit="1" customWidth="1"/>
    <col min="4" max="4" width="1.5703125" customWidth="1"/>
    <col min="5" max="5" width="15" bestFit="1" customWidth="1"/>
  </cols>
  <sheetData>
    <row r="1" spans="1:15" ht="15.75">
      <c r="A1" s="669" t="s">
        <v>115</v>
      </c>
    </row>
    <row r="2" spans="1:15" ht="15.75">
      <c r="A2" s="669" t="s">
        <v>115</v>
      </c>
    </row>
    <row r="3" spans="1:15" ht="15">
      <c r="A3" s="1230" t="str">
        <f>+'WS C  - Working Capital'!A3:L3</f>
        <v>AEP East Companies</v>
      </c>
      <c r="B3" s="1230"/>
      <c r="C3" s="1230"/>
      <c r="D3" s="1230"/>
      <c r="E3" s="1230"/>
      <c r="F3" s="30"/>
      <c r="G3" s="30"/>
      <c r="H3" s="30"/>
      <c r="I3" s="30"/>
      <c r="J3" s="30"/>
      <c r="K3" s="30"/>
      <c r="L3" s="30"/>
      <c r="M3" s="30"/>
      <c r="N3" s="30"/>
      <c r="O3" s="30"/>
    </row>
    <row r="4" spans="1:15" ht="15">
      <c r="A4" s="1231" t="str">
        <f>"Cost of Service Formula Rate Using Actual/Projected FF1 Balances"</f>
        <v>Cost of Service Formula Rate Using Actual/Projected FF1 Balances</v>
      </c>
      <c r="B4" s="1231"/>
      <c r="C4" s="1231"/>
      <c r="D4" s="1231"/>
      <c r="E4" s="1231"/>
      <c r="F4" s="77"/>
      <c r="G4" s="77"/>
      <c r="H4" s="77"/>
      <c r="I4" s="77"/>
      <c r="J4" s="77"/>
      <c r="K4" s="77"/>
      <c r="L4" s="77"/>
      <c r="M4" s="78"/>
      <c r="N4" s="78"/>
      <c r="O4" s="78"/>
    </row>
    <row r="5" spans="1:15" ht="15">
      <c r="A5" s="1231" t="s">
        <v>228</v>
      </c>
      <c r="B5" s="1231"/>
      <c r="C5" s="1231"/>
      <c r="D5" s="1231"/>
      <c r="E5" s="1231"/>
      <c r="F5" s="77"/>
      <c r="G5" s="77"/>
      <c r="H5" s="77"/>
      <c r="I5" s="77"/>
      <c r="J5" s="77"/>
      <c r="K5" s="77"/>
      <c r="L5" s="77"/>
      <c r="M5" s="77"/>
      <c r="N5" s="77"/>
      <c r="O5" s="77"/>
    </row>
    <row r="6" spans="1:15" ht="15">
      <c r="A6" s="1239" t="str">
        <f>TCOS!F9</f>
        <v xml:space="preserve">Indiana Michigan Power Company </v>
      </c>
      <c r="B6" s="1239"/>
      <c r="C6" s="1239"/>
      <c r="D6" s="1239"/>
      <c r="E6" s="1239"/>
      <c r="F6" s="3"/>
      <c r="G6" s="3"/>
      <c r="H6" s="3"/>
      <c r="I6" s="3"/>
      <c r="J6" s="3"/>
      <c r="K6" s="3"/>
      <c r="L6" s="3"/>
      <c r="M6" s="3"/>
      <c r="N6" s="3"/>
      <c r="O6" s="3"/>
    </row>
    <row r="8" spans="1:15">
      <c r="A8" s="137" t="s">
        <v>170</v>
      </c>
      <c r="B8" s="138" t="s">
        <v>163</v>
      </c>
      <c r="C8" s="138" t="s">
        <v>164</v>
      </c>
    </row>
    <row r="9" spans="1:15">
      <c r="A9" s="137" t="s">
        <v>107</v>
      </c>
      <c r="B9" s="137" t="s">
        <v>168</v>
      </c>
      <c r="C9" s="137">
        <f>+TCOS!L4</f>
        <v>2025</v>
      </c>
    </row>
    <row r="10" spans="1:15">
      <c r="B10" s="203"/>
      <c r="C10" s="138"/>
    </row>
    <row r="11" spans="1:15">
      <c r="A11" s="1">
        <v>1</v>
      </c>
      <c r="B11" s="833" t="str">
        <f>"Net Funds from IPP Customers 12/31/"&amp;TCOS!L4-1&amp;" ("&amp;TCOS!L4&amp;" FORM 1, P269)"</f>
        <v>Net Funds from IPP Customers 12/31/2024 (2025 FORM 1, P269)</v>
      </c>
      <c r="C11" s="626">
        <v>0</v>
      </c>
    </row>
    <row r="12" spans="1:15">
      <c r="B12" s="4"/>
      <c r="C12" s="109"/>
    </row>
    <row r="13" spans="1:15">
      <c r="A13" s="1">
        <v>2</v>
      </c>
      <c r="B13" s="833" t="s">
        <v>72</v>
      </c>
      <c r="C13" s="626">
        <v>0</v>
      </c>
    </row>
    <row r="14" spans="1:15">
      <c r="B14" s="833"/>
      <c r="C14" s="109"/>
    </row>
    <row r="15" spans="1:15">
      <c r="A15" s="1">
        <f>+A13+1</f>
        <v>3</v>
      </c>
      <c r="B15" s="833" t="s">
        <v>73</v>
      </c>
      <c r="C15" s="626">
        <v>0</v>
      </c>
    </row>
    <row r="16" spans="1:15">
      <c r="B16" s="833"/>
      <c r="C16" s="109"/>
    </row>
    <row r="17" spans="1:4">
      <c r="A17" s="1">
        <f>+A15+1</f>
        <v>4</v>
      </c>
      <c r="B17" s="834" t="s">
        <v>229</v>
      </c>
      <c r="C17" s="109"/>
    </row>
    <row r="18" spans="1:4">
      <c r="A18" s="1">
        <f>+A17+1</f>
        <v>5</v>
      </c>
      <c r="B18" s="833" t="s">
        <v>74</v>
      </c>
      <c r="C18" s="626">
        <v>0</v>
      </c>
    </row>
    <row r="19" spans="1:4">
      <c r="A19" s="1">
        <f>+A18+1</f>
        <v>6</v>
      </c>
      <c r="B19" s="82" t="s">
        <v>115</v>
      </c>
      <c r="C19" s="632">
        <v>0</v>
      </c>
    </row>
    <row r="20" spans="1:4">
      <c r="B20" s="4"/>
      <c r="C20" s="633"/>
    </row>
    <row r="21" spans="1:4">
      <c r="A21" s="1">
        <f>+A19+1</f>
        <v>7</v>
      </c>
      <c r="B21" s="833" t="str">
        <f>"Net Funds from IPP Customers 12/31/"&amp;TCOS!L4&amp;" ("&amp;TCOS!L4&amp;" FORM 1, P269)"</f>
        <v>Net Funds from IPP Customers 12/31/2025 (2025 FORM 1, P269)</v>
      </c>
      <c r="C21" s="109">
        <f>+C11+C13+C15+C18+C19</f>
        <v>0</v>
      </c>
      <c r="D21" s="385"/>
    </row>
    <row r="22" spans="1:4">
      <c r="B22" s="4"/>
      <c r="C22" s="109"/>
    </row>
    <row r="23" spans="1:4">
      <c r="A23" s="1">
        <f>+A21+1</f>
        <v>8</v>
      </c>
      <c r="B23" s="833" t="str">
        <f>"Average Balance for Year as Indicated in Column B ((ln "&amp;A11&amp;" + ln "&amp;A21&amp;")/2)"</f>
        <v>Average Balance for Year as Indicated in Column B ((ln 1 + ln 7)/2)</v>
      </c>
      <c r="C23" s="386">
        <f>AVERAGE(C21,C11)</f>
        <v>0</v>
      </c>
    </row>
    <row r="24" spans="1:4">
      <c r="B24" s="4"/>
    </row>
    <row r="25" spans="1:4">
      <c r="B25" s="72"/>
      <c r="C25" s="387"/>
    </row>
    <row r="26" spans="1:4" ht="15">
      <c r="A26" s="250" t="s">
        <v>500</v>
      </c>
      <c r="B26" s="1203" t="str">
        <f>"On this worksheet Company Records refers to  "&amp;A6&amp;"'s general ledger."</f>
        <v>On this worksheet Company Records refers to  Indiana Michigan Power Company 's general ledger.</v>
      </c>
    </row>
    <row r="27" spans="1:4">
      <c r="B27" s="1204"/>
    </row>
    <row r="28" spans="1:4">
      <c r="B28" s="4"/>
    </row>
    <row r="32" spans="1:4">
      <c r="D32" s="388"/>
    </row>
    <row r="38" spans="3:3">
      <c r="C38" s="247"/>
    </row>
  </sheetData>
  <mergeCells count="5">
    <mergeCell ref="B26:B27"/>
    <mergeCell ref="A3:E3"/>
    <mergeCell ref="A4:E4"/>
    <mergeCell ref="A5:E5"/>
    <mergeCell ref="A6:E6"/>
  </mergeCells>
  <phoneticPr fontId="0" type="noConversion"/>
  <pageMargins left="0.82" right="0.7" top="1" bottom="1" header="0.75" footer="0.5"/>
  <pageSetup scale="87" orientation="portrait" r:id="rId1"/>
  <headerFooter alignWithMargins="0">
    <oddHeader>&amp;R&amp;"Arial,Bold"Formula Rate 
&amp;A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Q09SUFxzMjczNjg5PC9Vc2VyTmFtZT48RGF0ZVRpbWU+My8zMC8yMDIyIDM6NDU6MzIgUE08L0RhdGVUaW1lPjxMYWJlbFN0cmluZz5BRVAgSW50ZXJuYWw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sisl>
</file>

<file path=customXml/itemProps1.xml><?xml version="1.0" encoding="utf-8"?>
<ds:datastoreItem xmlns:ds="http://schemas.openxmlformats.org/officeDocument/2006/customXml" ds:itemID="{1398D419-1E27-4DCA-91C1-6071CD5FEDDE}">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DB21B18B-332C-4CDC-9CFA-D1D37F33D30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30</vt:i4>
      </vt:variant>
      <vt:variant>
        <vt:lpstr>Named Ranges</vt:lpstr>
      </vt:variant>
      <vt:variant>
        <vt:i4>9</vt:i4>
      </vt:variant>
    </vt:vector>
  </HeadingPairs>
  <TitlesOfParts>
    <vt:vector size="39" baseType="lpstr">
      <vt:lpstr>TCOS</vt:lpstr>
      <vt:lpstr>WS A - RB Support</vt:lpstr>
      <vt:lpstr>WS B ADIT &amp; ITC</vt:lpstr>
      <vt:lpstr>WS B-1 - Actual Stmt. AF</vt:lpstr>
      <vt:lpstr>WS B-2 - Actual Stmt. AG</vt:lpstr>
      <vt:lpstr>WS B-3</vt:lpstr>
      <vt:lpstr>WS B-3-A</vt:lpstr>
      <vt:lpstr>WS C  - Working Capital</vt:lpstr>
      <vt:lpstr>WS D IPP Credits</vt:lpstr>
      <vt:lpstr>WS E Rev Credits</vt:lpstr>
      <vt:lpstr>WS F Misc Exp</vt:lpstr>
      <vt:lpstr>WS G  State Tax Rate</vt:lpstr>
      <vt:lpstr>WS H Other Taxes</vt:lpstr>
      <vt:lpstr>WS H-1-Detail of Tax Amts</vt:lpstr>
      <vt:lpstr>WS I Reserved</vt:lpstr>
      <vt:lpstr>WS J PROJECTED RTEP RR</vt:lpstr>
      <vt:lpstr>WS K TRUE-UP RTEP RR</vt:lpstr>
      <vt:lpstr>WS L Reserved</vt:lpstr>
      <vt:lpstr>WS M - Cost of Capital</vt:lpstr>
      <vt:lpstr>WS N - Sale of Plant Held</vt:lpstr>
      <vt:lpstr>WS O - PBOP</vt:lpstr>
      <vt:lpstr>APCo - WS P Dep. Rates</vt:lpstr>
      <vt:lpstr>IMC - WS P Dep. Rates</vt:lpstr>
      <vt:lpstr>KGP - WS P Dep. Rates</vt:lpstr>
      <vt:lpstr>KPC - WS P Dep. Rates</vt:lpstr>
      <vt:lpstr>OPC - WS P Dep. Rates</vt:lpstr>
      <vt:lpstr>WPC-WS P Dep. Rates</vt:lpstr>
      <vt:lpstr>WSQ NSPL</vt:lpstr>
      <vt:lpstr>WSQ Schedule 12</vt:lpstr>
      <vt:lpstr>WSQ Schedule 1A</vt:lpstr>
      <vt:lpstr>'KGP - WS P Dep. Rates'!Print_Area</vt:lpstr>
      <vt:lpstr>TCOS!Print_Area</vt:lpstr>
      <vt:lpstr>'WS B-3'!Print_Area</vt:lpstr>
      <vt:lpstr>'WS B-3-A'!Print_Area</vt:lpstr>
      <vt:lpstr>'WS G  State Tax Rate'!Print_Area</vt:lpstr>
      <vt:lpstr>'WS K TRUE-UP RTEP RR'!Print_Area</vt:lpstr>
      <vt:lpstr>'WS O - PBOP'!Print_Area</vt:lpstr>
      <vt:lpstr>'WSQ NSPL'!Print_Area</vt:lpstr>
      <vt:lpstr>'WSQ Schedule 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keywords/>
  <cp:lastModifiedBy/>
  <cp:lastPrinted>1601-01-01T00:00:00Z</cp:lastPrinted>
  <dcterms:created xsi:type="dcterms:W3CDTF">1601-01-01T00:00:00Z</dcterms:created>
  <dcterms:modified xsi:type="dcterms:W3CDTF">2026-05-22T11:29:50Z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5a7f0985-0e9f-4e86-9774-d837f4355cc0</vt:lpwstr>
  </property>
  <property fmtid="{D5CDD505-2E9C-101B-9397-08002B2CF9AE}" pid="3" name="bjSaver">
    <vt:lpwstr>HTegTYUHA5Eno747PWutbmINAXeRHZsu</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ClsUserRVM">
    <vt:lpwstr>[]</vt:lpwstr>
  </property>
  <property fmtid="{D5CDD505-2E9C-101B-9397-08002B2CF9AE}" pid="7" name="bjLabelHistoryID">
    <vt:lpwstr>{1398D419-1E27-4DCA-91C1-6071CD5FEDDE}</vt:lpwstr>
  </property>
  <property fmtid="{D5CDD505-2E9C-101B-9397-08002B2CF9AE}" pid="8" name="MSIP_Label_69f43042-6bda-44b2-91eb-eca3d3d484f4_SiteId">
    <vt:lpwstr>15f3c881-6b03-4ff6-8559-77bf5177818f</vt:lpwstr>
  </property>
  <property fmtid="{D5CDD505-2E9C-101B-9397-08002B2CF9AE}" pid="9" name="MSIP_Label_69f43042-6bda-44b2-91eb-eca3d3d484f4_Name">
    <vt:lpwstr>AEP Internal</vt:lpwstr>
  </property>
  <property fmtid="{D5CDD505-2E9C-101B-9397-08002B2CF9AE}" pid="10" name="MSIP_Label_69f43042-6bda-44b2-91eb-eca3d3d484f4_Enabled">
    <vt:lpwstr>true</vt:lpwstr>
  </property>
  <property fmtid="{D5CDD505-2E9C-101B-9397-08002B2CF9AE}" pid="11"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2" name="bjDocumentLabelXML-0">
    <vt:lpwstr>ames.com/2008/01/sie/internal/label"&gt;&lt;element uid="50c31824-0780-4910-87d1-eaaffd182d42" value="" /&gt;&lt;/sisl&gt;</vt:lpwstr>
  </property>
</Properties>
</file>